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activeX/activeX4.xml" ContentType="application/vnd.ms-office.activeX+xml"/>
  <Override PartName="/xl/drawings/drawing4.xml" ContentType="application/vnd.openxmlformats-officedocument.drawing+xml"/>
  <Override PartName="/xl/activeX/activeX5.xml" ContentType="application/vnd.ms-office.activeX+xml"/>
  <Override PartName="/xl/activeX/activeX4.bin" ContentType="application/vnd.ms-office.activeX"/>
  <Override PartName="/xl/activeX/activeX6.xml" ContentType="application/vnd.ms-office.activeX+xml"/>
  <Override PartName="/xl/activeX/activeX5.bin" ContentType="application/vnd.ms-office.activeX"/>
  <Override PartName="/xl/activeX/activeX7.xml" ContentType="application/vnd.ms-office.activeX+xml"/>
  <Override PartName="/xl/activeX/activeX6.bin" ContentType="application/vnd.ms-office.activeX"/>
  <Override PartName="/xl/drawings/drawing5.xml" ContentType="application/vnd.openxmlformats-officedocument.drawing+xml"/>
  <Override PartName="/xl/activeX/activeX8.xml" ContentType="application/vnd.ms-office.activeX+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SOUTH SECTION FOLDER\Mitigation\"/>
    </mc:Choice>
  </mc:AlternateContent>
  <workbookProtection workbookPassword="CC01" lockStructure="1"/>
  <bookViews>
    <workbookView xWindow="-3165" yWindow="1410" windowWidth="19440" windowHeight="12240" firstSheet="2" activeTab="2"/>
  </bookViews>
  <sheets>
    <sheet name="Sheet2" sheetId="5" state="hidden" r:id="rId1"/>
    <sheet name="Start" sheetId="11" state="hidden" r:id="rId2"/>
    <sheet name="Instructions" sheetId="12" r:id="rId3"/>
    <sheet name="Stream Parts I-II" sheetId="4" r:id="rId4"/>
    <sheet name="Stream Parts III-VI" sheetId="8" r:id="rId5"/>
    <sheet name="Multiple Site Unit Comparison" sheetId="10" r:id="rId6"/>
    <sheet name="Wetlands Parts I-III" sheetId="6" r:id="rId7"/>
    <sheet name="Wetlands Parts IV-V" sheetId="9" r:id="rId8"/>
  </sheets>
  <definedNames>
    <definedName name="_xlnm._FilterDatabase" localSheetId="4" hidden="1">'Stream Parts III-VI'!$I$31:$I$35</definedName>
    <definedName name="_ftn1" localSheetId="2">Instructions!#REF!</definedName>
    <definedName name="_ftnref1" localSheetId="2">Instructions!$B$50</definedName>
    <definedName name="OLE_LINK7" localSheetId="2">Instructions!$B$3</definedName>
    <definedName name="_xlnm.Print_Area" localSheetId="2">Instructions!$B$1:$P$179</definedName>
    <definedName name="_xlnm.Print_Area" localSheetId="5">'Multiple Site Unit Comparison'!$A$1:$F$50</definedName>
    <definedName name="_xlnm.Print_Area" localSheetId="3">'Stream Parts I-II'!$A:$Z</definedName>
    <definedName name="_xlnm.Print_Area" localSheetId="4">'Stream Parts III-VI'!$A$4:$J$45</definedName>
    <definedName name="_xlnm.Print_Area" localSheetId="6">'Wetlands Parts I-III'!$A$1:$O$26</definedName>
    <definedName name="_xlnm.Print_Area" localSheetId="7">'Wetlands Parts IV-V'!$A$1:$I$29</definedName>
  </definedNames>
  <calcPr calcId="152511"/>
</workbook>
</file>

<file path=xl/calcChain.xml><?xml version="1.0" encoding="utf-8"?>
<calcChain xmlns="http://schemas.openxmlformats.org/spreadsheetml/2006/main">
  <c r="H30" i="9" l="1"/>
  <c r="D36" i="4"/>
  <c r="E29" i="4"/>
  <c r="E30" i="4"/>
  <c r="D30" i="4"/>
  <c r="D33" i="4"/>
  <c r="B60" i="8"/>
  <c r="D39" i="4" l="1"/>
  <c r="E39" i="4"/>
  <c r="G39" i="8"/>
  <c r="I14" i="8"/>
  <c r="H13" i="8" s="1"/>
  <c r="B61" i="8"/>
  <c r="D26" i="4"/>
  <c r="D27" i="4" s="1"/>
  <c r="I26" i="4"/>
  <c r="I27" i="4" s="1"/>
  <c r="O26" i="4"/>
  <c r="O27" i="4" s="1"/>
  <c r="T26" i="4"/>
  <c r="T27" i="4" s="1"/>
  <c r="Z26" i="4"/>
  <c r="Z27" i="4" s="1"/>
  <c r="M5" i="4"/>
  <c r="R5" i="4" s="1"/>
  <c r="X5" i="4" s="1"/>
  <c r="G7" i="6"/>
  <c r="H7" i="6"/>
  <c r="G18" i="6"/>
  <c r="R18" i="6" s="1"/>
  <c r="G17" i="6"/>
  <c r="G16" i="6"/>
  <c r="G15" i="6"/>
  <c r="G14" i="6"/>
  <c r="G13" i="6"/>
  <c r="P13" i="6" s="1"/>
  <c r="G12" i="6"/>
  <c r="G11" i="6"/>
  <c r="G10" i="6"/>
  <c r="G9" i="6"/>
  <c r="P9" i="6" s="1"/>
  <c r="G8" i="6"/>
  <c r="O6" i="4"/>
  <c r="T6" i="4" s="1"/>
  <c r="Z6" i="4" s="1"/>
  <c r="Z9" i="4" s="1"/>
  <c r="N6" i="9"/>
  <c r="D9" i="4"/>
  <c r="I9" i="4"/>
  <c r="J17" i="9"/>
  <c r="R5" i="9" s="1"/>
  <c r="T5" i="9" s="1"/>
  <c r="S4" i="9"/>
  <c r="J16" i="9"/>
  <c r="R4" i="9" s="1"/>
  <c r="T4" i="9" s="1"/>
  <c r="K34" i="8"/>
  <c r="D57" i="8" s="1"/>
  <c r="D75" i="8" s="1"/>
  <c r="G16" i="9"/>
  <c r="N3" i="9"/>
  <c r="N4" i="9"/>
  <c r="N5" i="9"/>
  <c r="D44" i="4"/>
  <c r="E79" i="8"/>
  <c r="E75" i="8"/>
  <c r="Z33" i="4"/>
  <c r="Z36" i="4"/>
  <c r="M50" i="4"/>
  <c r="A37" i="4"/>
  <c r="V34" i="4"/>
  <c r="P34" i="4"/>
  <c r="K34" i="4"/>
  <c r="E34" i="4"/>
  <c r="A34" i="4"/>
  <c r="P30" i="4"/>
  <c r="P29" i="4" s="1"/>
  <c r="G37" i="8"/>
  <c r="G34" i="8"/>
  <c r="E61" i="8"/>
  <c r="E57" i="8"/>
  <c r="K38" i="8"/>
  <c r="K37" i="8"/>
  <c r="D61" i="8" s="1"/>
  <c r="D79" i="8" s="1"/>
  <c r="F79" i="8" s="1"/>
  <c r="K35" i="8"/>
  <c r="E6" i="10"/>
  <c r="C49" i="10"/>
  <c r="I33" i="4"/>
  <c r="R50" i="4"/>
  <c r="U45" i="4"/>
  <c r="T44" i="4"/>
  <c r="P44" i="4"/>
  <c r="Q42" i="4"/>
  <c r="Q37" i="4"/>
  <c r="T36" i="4"/>
  <c r="P35" i="4"/>
  <c r="T33" i="4"/>
  <c r="U32" i="4"/>
  <c r="T30" i="4" s="1"/>
  <c r="P32" i="4"/>
  <c r="P31" i="4" s="1"/>
  <c r="Q31" i="4" s="1"/>
  <c r="U30" i="4"/>
  <c r="U29" i="4" s="1"/>
  <c r="Q22" i="4"/>
  <c r="Q20" i="4"/>
  <c r="Q19" i="4"/>
  <c r="Q18" i="4"/>
  <c r="Q17" i="4"/>
  <c r="Q16" i="4"/>
  <c r="O33" i="4"/>
  <c r="A31" i="4"/>
  <c r="J30" i="4"/>
  <c r="J29" i="4" s="1"/>
  <c r="I36" i="4"/>
  <c r="I44" i="4"/>
  <c r="AA30" i="4"/>
  <c r="AA29" i="4"/>
  <c r="Z44" i="4"/>
  <c r="G18" i="8"/>
  <c r="V30" i="4"/>
  <c r="O36" i="4"/>
  <c r="E5"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O44" i="4"/>
  <c r="B50" i="4"/>
  <c r="E35" i="4"/>
  <c r="V32" i="4"/>
  <c r="V31" i="4" s="1"/>
  <c r="W31" i="4" s="1"/>
  <c r="K32" i="4"/>
  <c r="K31" i="4" s="1"/>
  <c r="L31" i="4" s="1"/>
  <c r="E32" i="4"/>
  <c r="AA32" i="4"/>
  <c r="Z30" i="4" s="1"/>
  <c r="J31" i="4"/>
  <c r="I30" i="4" s="1"/>
  <c r="W37" i="4"/>
  <c r="F37" i="4"/>
  <c r="L37" i="4"/>
  <c r="K35" i="4"/>
  <c r="V35" i="4"/>
  <c r="V44" i="4"/>
  <c r="L42" i="4"/>
  <c r="L22" i="4"/>
  <c r="L20" i="4"/>
  <c r="L19" i="4"/>
  <c r="L18" i="4"/>
  <c r="L17" i="4"/>
  <c r="L16" i="4"/>
  <c r="W42" i="4"/>
  <c r="F42" i="4"/>
  <c r="P17" i="6"/>
  <c r="P15" i="6"/>
  <c r="P12" i="6"/>
  <c r="P11" i="6"/>
  <c r="P10" i="6"/>
  <c r="P8" i="6"/>
  <c r="P14" i="6"/>
  <c r="V7" i="6"/>
  <c r="P16" i="6"/>
  <c r="P18" i="6"/>
  <c r="P7" i="6"/>
  <c r="Q8" i="6"/>
  <c r="Q9" i="6"/>
  <c r="Q10" i="6"/>
  <c r="Q11" i="6"/>
  <c r="Q12" i="6"/>
  <c r="Q13" i="6"/>
  <c r="Q14" i="6"/>
  <c r="Q15" i="6"/>
  <c r="Q16" i="6"/>
  <c r="Q17" i="6"/>
  <c r="Q18" i="6"/>
  <c r="Q7" i="6"/>
  <c r="R8" i="6"/>
  <c r="R9" i="6"/>
  <c r="R10" i="6"/>
  <c r="R11" i="6"/>
  <c r="R12" i="6"/>
  <c r="R13" i="6"/>
  <c r="R14" i="6"/>
  <c r="R15" i="6"/>
  <c r="R16" i="6"/>
  <c r="R17" i="6"/>
  <c r="R7" i="6"/>
  <c r="S8" i="6"/>
  <c r="S9" i="6"/>
  <c r="S10" i="6"/>
  <c r="S11" i="6"/>
  <c r="S12" i="6"/>
  <c r="S13" i="6"/>
  <c r="S14" i="6"/>
  <c r="S15" i="6"/>
  <c r="S16" i="6"/>
  <c r="S17" i="6"/>
  <c r="S18" i="6"/>
  <c r="S7" i="6"/>
  <c r="U8" i="6"/>
  <c r="U9" i="6"/>
  <c r="U10" i="6"/>
  <c r="U11" i="6"/>
  <c r="U12" i="6"/>
  <c r="U13" i="6"/>
  <c r="U14" i="6"/>
  <c r="U15" i="6"/>
  <c r="U16" i="6"/>
  <c r="U17" i="6"/>
  <c r="U18" i="6"/>
  <c r="V8" i="6"/>
  <c r="V9" i="6"/>
  <c r="V10" i="6"/>
  <c r="V11" i="6"/>
  <c r="V12" i="6"/>
  <c r="V13" i="6"/>
  <c r="V14" i="6"/>
  <c r="V15" i="6"/>
  <c r="V16" i="6"/>
  <c r="V17" i="6"/>
  <c r="V18" i="6"/>
  <c r="W8" i="6"/>
  <c r="W9" i="6"/>
  <c r="W10" i="6"/>
  <c r="W11" i="6"/>
  <c r="W12" i="6"/>
  <c r="W13" i="6"/>
  <c r="W14" i="6"/>
  <c r="W15" i="6"/>
  <c r="W16" i="6"/>
  <c r="W17" i="6"/>
  <c r="W18" i="6"/>
  <c r="X8" i="6"/>
  <c r="X9" i="6"/>
  <c r="X10" i="6"/>
  <c r="X11" i="6"/>
  <c r="X12" i="6"/>
  <c r="X13" i="6"/>
  <c r="X14" i="6"/>
  <c r="X15" i="6"/>
  <c r="X16" i="6"/>
  <c r="X17" i="6"/>
  <c r="X18" i="6"/>
  <c r="X7" i="6"/>
  <c r="W7" i="6"/>
  <c r="U7" i="6"/>
  <c r="D19" i="6"/>
  <c r="AA45" i="4"/>
  <c r="J44" i="4"/>
  <c r="E44" i="4"/>
  <c r="N1" i="9"/>
  <c r="H8" i="6"/>
  <c r="H9" i="6"/>
  <c r="H10" i="6"/>
  <c r="H11" i="6"/>
  <c r="H12" i="6"/>
  <c r="H13" i="6"/>
  <c r="H14" i="6"/>
  <c r="H15" i="6"/>
  <c r="H16" i="6"/>
  <c r="H17" i="6"/>
  <c r="H18" i="6"/>
  <c r="D22" i="9"/>
  <c r="O1" i="9"/>
  <c r="C8" i="9"/>
  <c r="A17" i="9"/>
  <c r="F5" i="9"/>
  <c r="W19" i="4"/>
  <c r="X50" i="4"/>
  <c r="G50" i="4"/>
  <c r="W22" i="4"/>
  <c r="W20" i="4"/>
  <c r="W18" i="4"/>
  <c r="W17" i="4"/>
  <c r="W16" i="4"/>
  <c r="F22" i="4"/>
  <c r="F20" i="4"/>
  <c r="F19" i="4"/>
  <c r="F18" i="4"/>
  <c r="F17" i="4"/>
  <c r="F16" i="4"/>
  <c r="A19" i="8"/>
  <c r="F7" i="8"/>
  <c r="A42" i="4"/>
  <c r="A22" i="4"/>
  <c r="A20" i="4"/>
  <c r="A19" i="4"/>
  <c r="A18" i="4"/>
  <c r="A17" i="4"/>
  <c r="A16" i="4"/>
  <c r="Q34" i="4"/>
  <c r="E31" i="4"/>
  <c r="F31" i="4" s="1"/>
  <c r="X19" i="6" l="1"/>
  <c r="C41" i="9" s="1"/>
  <c r="F24" i="6"/>
  <c r="M5" i="9" s="1"/>
  <c r="F75" i="8"/>
  <c r="A50" i="4"/>
  <c r="V29" i="4"/>
  <c r="O30" i="4"/>
  <c r="O9" i="4"/>
  <c r="T9" i="4"/>
  <c r="U19" i="6"/>
  <c r="C38" i="9" s="1"/>
  <c r="V19" i="6"/>
  <c r="C39" i="9" s="1"/>
  <c r="F22" i="6"/>
  <c r="W19" i="6"/>
  <c r="C40" i="9" s="1"/>
  <c r="F25" i="6"/>
  <c r="M6" i="9" s="1"/>
  <c r="B27" i="9"/>
  <c r="F23" i="6"/>
  <c r="L5" i="9"/>
  <c r="U4" i="9"/>
  <c r="U5" i="9"/>
  <c r="D62" i="8"/>
  <c r="D80" i="8" s="1"/>
  <c r="F80" i="8" s="1"/>
  <c r="D58" i="8"/>
  <c r="D76" i="8" s="1"/>
  <c r="F76" i="8" s="1"/>
  <c r="F34" i="4"/>
  <c r="V27" i="4"/>
  <c r="M26" i="4" s="1"/>
  <c r="W34" i="4"/>
  <c r="T39" i="4"/>
  <c r="O39" i="4"/>
  <c r="U40" i="4"/>
  <c r="V39" i="4"/>
  <c r="F61" i="8"/>
  <c r="F57" i="8"/>
  <c r="AA40" i="4"/>
  <c r="P39" i="4"/>
  <c r="Z39" i="4"/>
  <c r="W50" i="4" s="1"/>
  <c r="N57" i="8" s="1"/>
  <c r="L34" i="4"/>
  <c r="U28" i="4"/>
  <c r="R26" i="4" s="1"/>
  <c r="I39" i="4"/>
  <c r="C21" i="9"/>
  <c r="J39" i="4"/>
  <c r="F50" i="4" s="1"/>
  <c r="H11" i="9"/>
  <c r="AA28" i="4"/>
  <c r="X26" i="4" s="1"/>
  <c r="J27" i="4"/>
  <c r="G26" i="4" s="1"/>
  <c r="P27" i="4"/>
  <c r="E27" i="4"/>
  <c r="B26" i="4" s="1"/>
  <c r="F27" i="9" l="1"/>
  <c r="I27" i="9" s="1"/>
  <c r="L4" i="9"/>
  <c r="M4" i="9"/>
  <c r="L3" i="9"/>
  <c r="C22" i="9"/>
  <c r="M3" i="9"/>
  <c r="L50" i="4"/>
  <c r="O50" i="4" s="1"/>
  <c r="L6" i="9"/>
  <c r="F28" i="9" s="1"/>
  <c r="Q50" i="4"/>
  <c r="I2" i="8" s="1"/>
  <c r="C42" i="9"/>
  <c r="B25" i="9"/>
  <c r="B28" i="9"/>
  <c r="B26" i="9"/>
  <c r="F26" i="6"/>
  <c r="L22" i="6" s="1"/>
  <c r="F62" i="8"/>
  <c r="F58" i="8"/>
  <c r="M57" i="8"/>
  <c r="L2" i="8"/>
  <c r="J52" i="8" s="1"/>
  <c r="Z50" i="4"/>
  <c r="D2" i="8"/>
  <c r="I50" i="4"/>
  <c r="D50" i="4"/>
  <c r="B2" i="8"/>
  <c r="F26" i="9" l="1"/>
  <c r="I26" i="9" s="1"/>
  <c r="F25" i="9"/>
  <c r="I25" i="9" s="1"/>
  <c r="G2" i="8"/>
  <c r="F52" i="8" s="1"/>
  <c r="D23" i="8"/>
  <c r="C23" i="8" s="1"/>
  <c r="C10" i="8"/>
  <c r="T50" i="4"/>
  <c r="I28" i="9"/>
  <c r="B29" i="9"/>
  <c r="D51" i="8"/>
  <c r="D27" i="8" s="1"/>
  <c r="H52" i="8"/>
  <c r="H27" i="8" s="1"/>
  <c r="J27" i="8"/>
  <c r="H43" i="8" s="1"/>
  <c r="F29" i="9" l="1"/>
  <c r="F27" i="8"/>
  <c r="F28" i="8" s="1"/>
  <c r="C48" i="8"/>
  <c r="D48" i="8" s="1"/>
  <c r="F18" i="8"/>
  <c r="G79" i="8"/>
  <c r="H79" i="8" s="1"/>
  <c r="G75" i="8"/>
  <c r="H75" i="8" s="1"/>
  <c r="G80" i="8"/>
  <c r="H80" i="8" s="1"/>
  <c r="G76" i="8"/>
  <c r="H76" i="8" s="1"/>
  <c r="J28" i="8"/>
  <c r="G57" i="8" s="1"/>
  <c r="M60" i="8"/>
  <c r="H28" i="8"/>
  <c r="D81" i="8" l="1"/>
  <c r="D82" i="8"/>
  <c r="B62" i="8"/>
  <c r="H18" i="8"/>
  <c r="I18" i="8" s="1"/>
  <c r="C43" i="8"/>
  <c r="G62" i="8"/>
  <c r="H62" i="8" s="1"/>
  <c r="G58" i="8"/>
  <c r="H58" i="8" s="1"/>
  <c r="G61" i="8"/>
  <c r="H61" i="8" s="1"/>
  <c r="D64" i="8" l="1"/>
  <c r="D83" i="8"/>
  <c r="B27" i="8"/>
  <c r="H57" i="8"/>
  <c r="D63" i="8" s="1"/>
  <c r="E4" i="10"/>
  <c r="D49" i="10"/>
  <c r="E3" i="10"/>
  <c r="F3" i="10" s="1"/>
  <c r="H83" i="8" l="1"/>
  <c r="D65" i="8"/>
  <c r="G44" i="8" s="1"/>
  <c r="D43" i="8" s="1"/>
  <c r="F4" i="10"/>
  <c r="F5" i="10" s="1"/>
  <c r="F6" i="10" s="1"/>
  <c r="F7" i="10" s="1"/>
  <c r="F8" i="10" s="1"/>
  <c r="F9" i="10" s="1"/>
  <c r="F10" i="10" s="1"/>
  <c r="F11" i="10" s="1"/>
  <c r="F12" i="10" s="1"/>
  <c r="F13" i="10" s="1"/>
  <c r="F14" i="10" s="1"/>
  <c r="F15" i="10" s="1"/>
  <c r="F16" i="10" s="1"/>
  <c r="F17" i="10" s="1"/>
  <c r="F18" i="10" s="1"/>
  <c r="F19" i="10" s="1"/>
  <c r="F20" i="10" s="1"/>
  <c r="F21" i="10" s="1"/>
  <c r="F22" i="10" s="1"/>
  <c r="F23" i="10" s="1"/>
  <c r="F24" i="10" s="1"/>
  <c r="F25" i="10" s="1"/>
  <c r="F26" i="10" s="1"/>
  <c r="F27" i="10" s="1"/>
  <c r="F28" i="10" s="1"/>
  <c r="F29" i="10" s="1"/>
  <c r="F30" i="10" s="1"/>
  <c r="F31" i="10" s="1"/>
  <c r="F32" i="10" s="1"/>
  <c r="F33" i="10" s="1"/>
  <c r="F34" i="10" s="1"/>
  <c r="F35" i="10" s="1"/>
  <c r="F36" i="10" s="1"/>
  <c r="F37" i="10" s="1"/>
  <c r="F38" i="10" s="1"/>
  <c r="F39" i="10" s="1"/>
  <c r="F40" i="10" s="1"/>
  <c r="F41" i="10" s="1"/>
  <c r="F42" i="10" s="1"/>
  <c r="F43" i="10" s="1"/>
  <c r="F44" i="10" s="1"/>
  <c r="F45" i="10" s="1"/>
  <c r="F46" i="10" s="1"/>
  <c r="F47" i="10" s="1"/>
  <c r="F48" i="10" s="1"/>
  <c r="F49" i="10" s="1"/>
  <c r="H65" i="8" l="1"/>
  <c r="I45" i="8" s="1"/>
  <c r="V5" i="9"/>
  <c r="V4" i="9"/>
  <c r="R9" i="9" s="1"/>
  <c r="R10" i="9" l="1"/>
  <c r="R12" i="9" s="1"/>
  <c r="V12" i="9" l="1"/>
  <c r="H29" i="9" l="1"/>
  <c r="I29" i="9" s="1"/>
</calcChain>
</file>

<file path=xl/sharedStrings.xml><?xml version="1.0" encoding="utf-8"?>
<sst xmlns="http://schemas.openxmlformats.org/spreadsheetml/2006/main" count="763" uniqueCount="373">
  <si>
    <t>pH</t>
  </si>
  <si>
    <t>DO</t>
  </si>
  <si>
    <t>6. Channel Alteration</t>
  </si>
  <si>
    <t>8. Bank Stability (LB &amp; RB)</t>
  </si>
  <si>
    <t>9. Vegetative Protection (LB &amp; RB)</t>
  </si>
  <si>
    <t>0-20</t>
  </si>
  <si>
    <t>10-30</t>
  </si>
  <si>
    <t>Temporal Loss-Maturity</t>
  </si>
  <si>
    <t>Years</t>
  </si>
  <si>
    <t>21-40</t>
  </si>
  <si>
    <t>41-60</t>
  </si>
  <si>
    <t>61-80</t>
  </si>
  <si>
    <t>0-100</t>
  </si>
  <si>
    <t>5-90</t>
  </si>
  <si>
    <t>Site Score</t>
  </si>
  <si>
    <t>Sub-Total</t>
  </si>
  <si>
    <r>
      <t>&lt;</t>
    </r>
    <r>
      <rPr>
        <sz val="8"/>
        <rFont val="Arial"/>
        <family val="2"/>
      </rPr>
      <t xml:space="preserve"> 20</t>
    </r>
  </si>
  <si>
    <t>PART I - Physical, Chemical and Biological Indicators</t>
  </si>
  <si>
    <t xml:space="preserve">% Add. Mitigation </t>
  </si>
  <si>
    <t xml:space="preserve">Long-term Protection </t>
  </si>
  <si>
    <t xml:space="preserve">&lt;99 </t>
  </si>
  <si>
    <t xml:space="preserve">100-199 </t>
  </si>
  <si>
    <t>200-349</t>
  </si>
  <si>
    <t>350-499</t>
  </si>
  <si>
    <t>500-749</t>
  </si>
  <si>
    <t xml:space="preserve">750-999 </t>
  </si>
  <si>
    <t>1000-1499</t>
  </si>
  <si>
    <t>&gt;1500</t>
  </si>
  <si>
    <t xml:space="preserve">&lt;4.5 </t>
  </si>
  <si>
    <t>4.6-5.5</t>
  </si>
  <si>
    <t>5.6-6.5</t>
  </si>
  <si>
    <t>6.6-8.0</t>
  </si>
  <si>
    <t>8.1-9.0</t>
  </si>
  <si>
    <t>&gt;9.1</t>
  </si>
  <si>
    <t>&gt;5.0</t>
  </si>
  <si>
    <t xml:space="preserve">&lt;5.0 </t>
  </si>
  <si>
    <t>78-100</t>
  </si>
  <si>
    <t xml:space="preserve">68-77 </t>
  </si>
  <si>
    <t>60.6-67</t>
  </si>
  <si>
    <t xml:space="preserve">45-60.5 </t>
  </si>
  <si>
    <t>22-44</t>
  </si>
  <si>
    <t>Select</t>
  </si>
  <si>
    <t>Index</t>
  </si>
  <si>
    <t>Long-Term Protection (Years)</t>
  </si>
  <si>
    <t>Temporal Loss-Maturity (Years)</t>
  </si>
  <si>
    <t>Unit Score</t>
  </si>
  <si>
    <t>0-1</t>
  </si>
  <si>
    <t>Points Scale</t>
  </si>
  <si>
    <t>Total RBP Score</t>
  </si>
  <si>
    <t>% Add. Mitigation and Monitoring Period</t>
  </si>
  <si>
    <t>In-Lieu Fee</t>
  </si>
  <si>
    <t>FORM OF MITIGATION:</t>
  </si>
  <si>
    <t>Mitigation Bank</t>
  </si>
  <si>
    <t xml:space="preserve"> </t>
  </si>
  <si>
    <t>USEPA RBP (High Gradient Data Sheet)</t>
  </si>
  <si>
    <t>Range</t>
  </si>
  <si>
    <t>Pre-Impact</t>
  </si>
  <si>
    <t>Proj.-Maturity</t>
  </si>
  <si>
    <t>Proj.-Upon Completion</t>
  </si>
  <si>
    <t>Reference Site</t>
  </si>
  <si>
    <t xml:space="preserve">DATE: </t>
  </si>
  <si>
    <t>USEPA RBP (Low Gradient Data Sheet)</t>
  </si>
  <si>
    <t>PART I - Wetland Indicators</t>
  </si>
  <si>
    <t>W1</t>
  </si>
  <si>
    <t>Emergent</t>
  </si>
  <si>
    <t>Scrub-Shrub</t>
  </si>
  <si>
    <t>Forested</t>
  </si>
  <si>
    <t>Total Emergent</t>
  </si>
  <si>
    <t>Total Scrub-Shrub</t>
  </si>
  <si>
    <t>Total Forested</t>
  </si>
  <si>
    <t>W2</t>
  </si>
  <si>
    <t>W3</t>
  </si>
  <si>
    <t>W4</t>
  </si>
  <si>
    <t>W5</t>
  </si>
  <si>
    <t>W6</t>
  </si>
  <si>
    <t>W7</t>
  </si>
  <si>
    <t>W8</t>
  </si>
  <si>
    <t>W9</t>
  </si>
  <si>
    <t>W10</t>
  </si>
  <si>
    <t>W11</t>
  </si>
  <si>
    <t>W12</t>
  </si>
  <si>
    <t>Impact (Existing Condition)</t>
  </si>
  <si>
    <t>Mitigation-Upon Completion</t>
  </si>
  <si>
    <t>Mitigation-Maturity</t>
  </si>
  <si>
    <t>WEATHER CONDITIONS:</t>
  </si>
  <si>
    <t>Sunny/Dry</t>
  </si>
  <si>
    <t>Replacement   Ratio</t>
  </si>
  <si>
    <t>PRECIPITATION PAST 48 HRS:</t>
  </si>
  <si>
    <t>Permittee Responsible-Onsite</t>
  </si>
  <si>
    <t xml:space="preserve">Permittee Responsible-Offsite </t>
  </si>
  <si>
    <t xml:space="preserve">Temporal Loss-Construction  </t>
  </si>
  <si>
    <t>COORDINATES:</t>
  </si>
  <si>
    <t>Lat.</t>
  </si>
  <si>
    <t>Lon.</t>
  </si>
  <si>
    <t>USACE FILE NO./Project Name:</t>
  </si>
  <si>
    <t xml:space="preserve">STREAM/SITE ID AND SITE DESCRIPTION:
(% stream slope, watershed size {acreage}, unaltered or impairments) </t>
  </si>
  <si>
    <t xml:space="preserve">PART II - Index and Unit Score </t>
  </si>
  <si>
    <t>LRH-2009-001-W / Cinnamon Wetland Fill</t>
  </si>
  <si>
    <t>Open Water</t>
  </si>
  <si>
    <t xml:space="preserve">*Note: Reflects duration of aquatic functional loss between the time of an impact (debit) and completion of compensatory mitigation (credit).  </t>
  </si>
  <si>
    <t xml:space="preserve">*Note: Period between completion of compensatory mitigation measures and the time required for maturity, as it relates to function (i.e. maturity of tree stratum to provide organic matter and detritus within riparian stream or wetland buffer corridor). </t>
  </si>
  <si>
    <t>Total Open Water</t>
  </si>
  <si>
    <t>Wetland Classification</t>
  </si>
  <si>
    <t>Form of Mitigation</t>
  </si>
  <si>
    <t>Net-Total</t>
  </si>
  <si>
    <r>
      <t xml:space="preserve">PART V - Final Unit Score 
</t>
    </r>
    <r>
      <rPr>
        <sz val="11"/>
        <color indexed="10"/>
        <rFont val="Arial"/>
        <family val="2"/>
      </rPr>
      <t xml:space="preserve">(for MITIGATION BANKING AND ILF Compensatory Mitigation) </t>
    </r>
    <r>
      <rPr>
        <b/>
        <sz val="11"/>
        <rFont val="Arial"/>
        <family val="2"/>
      </rPr>
      <t xml:space="preserve">
</t>
    </r>
  </si>
  <si>
    <t>Estimated
ILF Costs</t>
  </si>
  <si>
    <t>Linear Feet</t>
  </si>
  <si>
    <t>PART IV- Factors 
(See instruction page for default values for MITIGATION BANKING and ILF.)</t>
  </si>
  <si>
    <t>n</t>
  </si>
  <si>
    <t>PART III - Advanced Mitigation</t>
  </si>
  <si>
    <t>PART II - Unit Scores</t>
  </si>
  <si>
    <t>Replacement Unit(s)</t>
  </si>
  <si>
    <t>Total Impact</t>
  </si>
  <si>
    <t xml:space="preserve">Total Impacts
</t>
  </si>
  <si>
    <t xml:space="preserve">Balance
</t>
  </si>
  <si>
    <t>Column No. 1- Impact Existing Condition (Debit)</t>
  </si>
  <si>
    <t>STREAM IMPACT LENGTH:</t>
  </si>
  <si>
    <t>DATE:</t>
  </si>
  <si>
    <t>Impact Existing Condition 
(Debit)</t>
  </si>
  <si>
    <t>Mitigation Existing 
Condition
(Credit)</t>
  </si>
  <si>
    <t>Mitigation Projected At Maturity (Credit)</t>
  </si>
  <si>
    <t>Mitigation Projected At Maturity 
(Credit)</t>
  </si>
  <si>
    <t>Specific Conductivity</t>
  </si>
  <si>
    <t>Ephemeral</t>
  </si>
  <si>
    <t>Intermittent</t>
  </si>
  <si>
    <t>Perennial</t>
  </si>
  <si>
    <t>0-90</t>
  </si>
  <si>
    <t>0-80</t>
  </si>
  <si>
    <t>Site</t>
  </si>
  <si>
    <t>Impact 
Unit Yield (Debit)</t>
  </si>
  <si>
    <t>Mitigation 
Unit Yield
(Credit)</t>
  </si>
  <si>
    <t>Sub-Totals</t>
  </si>
  <si>
    <t>Running Balance
(Debit or Credit)</t>
  </si>
  <si>
    <t>TOTAL NET</t>
  </si>
  <si>
    <r>
      <t xml:space="preserve">PART III - Sub-Index Correlation
</t>
    </r>
    <r>
      <rPr>
        <b/>
        <sz val="8"/>
        <rFont val="Arial"/>
        <family val="2"/>
      </rPr>
      <t>(See instruction page for default values for Mitigation Banking and ILF)</t>
    </r>
  </si>
  <si>
    <t>Multiple Stream Site Unit Comparison</t>
  </si>
  <si>
    <t>Unit Score 
(Debit)</t>
  </si>
  <si>
    <t>Final Index Score 
(Debit)</t>
  </si>
  <si>
    <t>Final Unit Score (Debit)
[No Net Loss Value]</t>
  </si>
  <si>
    <t>Preservation</t>
  </si>
  <si>
    <t>Restoration</t>
  </si>
  <si>
    <t>Enhancement</t>
  </si>
  <si>
    <r>
      <t>&lt;</t>
    </r>
    <r>
      <rPr>
        <sz val="8"/>
        <color indexed="9"/>
        <rFont val="Arial"/>
        <family val="2"/>
      </rPr>
      <t xml:space="preserve"> 22 </t>
    </r>
  </si>
  <si>
    <t>Mitigation Projected at Five Years 
Post Completion (Credit)</t>
  </si>
  <si>
    <t xml:space="preserve">FINAL PROJECTED NET BALANCE </t>
  </si>
  <si>
    <t>Mitigation Existing 
Condition - Baseline
(Credit)</t>
  </si>
  <si>
    <t>Column No. 2- Mitigation Existing Condition - Baseline (Credit)</t>
  </si>
  <si>
    <t xml:space="preserve">Mitigation Length: 
</t>
  </si>
  <si>
    <t>Mitigation Projected at Ten Years 
Post Completion (Credit)</t>
  </si>
  <si>
    <t xml:space="preserve">PART IV - Index to Unit Score Conversion 
</t>
  </si>
  <si>
    <t>Final Mitigation Unit Yield</t>
  </si>
  <si>
    <t>Preservation and Re-vegetation</t>
  </si>
  <si>
    <t>Preservation and Supplemental Planting</t>
  </si>
  <si>
    <t>None</t>
  </si>
  <si>
    <t>sqft</t>
  </si>
  <si>
    <t>Mitigation Unit Yield (Credit)</t>
  </si>
  <si>
    <t>Next Version: RDB and LDB Cells for clarity</t>
  </si>
  <si>
    <t>75 feet = 25'given and additional 50'</t>
  </si>
  <si>
    <t>15% max 101-300'</t>
  </si>
  <si>
    <t>Changed to:</t>
  </si>
  <si>
    <t>depicts 1-side (combined average)</t>
  </si>
  <si>
    <t>30% max 26-100'</t>
  </si>
  <si>
    <t>no more than 45% of base unit yield (J28) combined</t>
  </si>
  <si>
    <t>Classification * Multipliers</t>
  </si>
  <si>
    <t>Classification * %</t>
  </si>
  <si>
    <t>WEATHER:</t>
  </si>
  <si>
    <r>
      <t xml:space="preserve">IMPACT COORDINATES:
</t>
    </r>
    <r>
      <rPr>
        <b/>
        <sz val="10"/>
        <rFont val="Arial"/>
        <family val="2"/>
      </rPr>
      <t>(in Decimal Degrees)</t>
    </r>
  </si>
  <si>
    <r>
      <t xml:space="preserve">MIT COORDINATES:
</t>
    </r>
    <r>
      <rPr>
        <b/>
        <sz val="10"/>
        <rFont val="Arial"/>
        <family val="2"/>
      </rPr>
      <t>(in Decimal Degrees)</t>
    </r>
  </si>
  <si>
    <t xml:space="preserve">HGM Score (attach data forms):
</t>
  </si>
  <si>
    <t>Unit Score Plus Temp Loss (Const. and Maturity) and LT Protection</t>
  </si>
  <si>
    <t>Final Unit Score Multiplied by Impact Linear Feet</t>
  </si>
  <si>
    <t>Average</t>
  </si>
  <si>
    <t>Hydrology</t>
  </si>
  <si>
    <t>Biogeochemical Cycling</t>
  </si>
  <si>
    <t>Habitat</t>
  </si>
  <si>
    <r>
      <t xml:space="preserve">10. </t>
    </r>
    <r>
      <rPr>
        <sz val="9"/>
        <rFont val="Arial"/>
        <family val="2"/>
      </rPr>
      <t>Riparian Vegetative Zone Width (LB &amp; RB)</t>
    </r>
  </si>
  <si>
    <r>
      <t xml:space="preserve">BIOLOGICAL INDICATOR </t>
    </r>
    <r>
      <rPr>
        <sz val="9"/>
        <rFont val="Arial"/>
        <family val="2"/>
      </rPr>
      <t>(Applies to Intermittent and Perennial Streams)</t>
    </r>
  </si>
  <si>
    <r>
      <t xml:space="preserve">CHEMICAL INDICATOR </t>
    </r>
    <r>
      <rPr>
        <sz val="9"/>
        <rFont val="Arial"/>
        <family val="2"/>
      </rPr>
      <t>(Applies to Intermittent and Perennial Streams)</t>
    </r>
  </si>
  <si>
    <r>
      <t xml:space="preserve">PHYSICAL INDICATOR </t>
    </r>
    <r>
      <rPr>
        <sz val="9"/>
        <rFont val="Arial"/>
        <family val="2"/>
      </rPr>
      <t>(Applies to all streams classifications)</t>
    </r>
  </si>
  <si>
    <r>
      <t xml:space="preserve">BIOLOGICAL INDICATOR </t>
    </r>
    <r>
      <rPr>
        <b/>
        <sz val="9"/>
        <rFont val="Arial"/>
        <family val="2"/>
      </rPr>
      <t>(Applies to Intermittent and Perennial Streams)</t>
    </r>
  </si>
  <si>
    <t>WV Stream Condition Index (WVSCI)</t>
  </si>
  <si>
    <t>WVDEP Water Quality Indicators (General)</t>
  </si>
  <si>
    <t>Overall buffer Precentage Added:</t>
  </si>
  <si>
    <t>100 foot buffer cap:</t>
  </si>
  <si>
    <t>300 foot buffer cap:</t>
  </si>
  <si>
    <t>Source of Part 5</t>
  </si>
  <si>
    <t>% in decimal</t>
  </si>
  <si>
    <t>Left Bank</t>
  </si>
  <si>
    <t>Right Bank</t>
  </si>
  <si>
    <t>51-150</t>
  </si>
  <si>
    <t>RESTORATION LEVELS</t>
  </si>
  <si>
    <t xml:space="preserve">Level 1 </t>
  </si>
  <si>
    <t>Level 2</t>
  </si>
  <si>
    <t>Level 3</t>
  </si>
  <si>
    <t>Level 4 (not currently added, set up for D35)</t>
  </si>
  <si>
    <t>Restoration Level % Proposed:</t>
  </si>
  <si>
    <t>Percent set to 100% scale:</t>
  </si>
  <si>
    <t>Amount Proposed (add. Amt)</t>
  </si>
  <si>
    <t>Add credit for first 25'</t>
  </si>
  <si>
    <t>Percentage</t>
  </si>
  <si>
    <t>Buffer Width</t>
  </si>
  <si>
    <t>Average Buffer Width/Side</t>
  </si>
  <si>
    <r>
      <t xml:space="preserve">Extended Upland Buffer Zone 
</t>
    </r>
    <r>
      <rPr>
        <b/>
        <sz val="8"/>
        <rFont val="Arial"/>
        <family val="2"/>
      </rPr>
      <t>*Note</t>
    </r>
    <r>
      <rPr>
        <b/>
        <vertAlign val="superscript"/>
        <sz val="8"/>
        <rFont val="Arial"/>
        <family val="2"/>
      </rPr>
      <t>1</t>
    </r>
    <r>
      <rPr>
        <b/>
        <sz val="8"/>
        <rFont val="Arial"/>
        <family val="2"/>
      </rPr>
      <t>: Reference Instructional handout for the definitions of the Buffer Zone Mitigation Extents and Types (below)
*Note</t>
    </r>
    <r>
      <rPr>
        <b/>
        <vertAlign val="superscript"/>
        <sz val="8"/>
        <rFont val="Arial"/>
        <family val="2"/>
      </rPr>
      <t>2</t>
    </r>
    <r>
      <rPr>
        <b/>
        <sz val="8"/>
        <rFont val="Arial"/>
        <family val="2"/>
      </rPr>
      <t>: Enter the buffer width for each channel side (Left Bank and Right Bank)
*Note</t>
    </r>
    <r>
      <rPr>
        <b/>
        <vertAlign val="superscript"/>
        <sz val="8"/>
        <rFont val="Arial"/>
        <family val="2"/>
      </rPr>
      <t>3</t>
    </r>
    <r>
      <rPr>
        <b/>
        <sz val="8"/>
        <rFont val="Arial"/>
        <family val="2"/>
      </rPr>
      <t>: Select the appropriate mitigation type</t>
    </r>
  </si>
  <si>
    <r>
      <t xml:space="preserve">Extent of Stream Restoration 
</t>
    </r>
    <r>
      <rPr>
        <b/>
        <sz val="8"/>
        <rFont val="Arial"/>
        <family val="2"/>
      </rPr>
      <t>*Note1: Reference the Instructional handout to determine the correct Restoration Levels (below) for your project</t>
    </r>
    <r>
      <rPr>
        <b/>
        <sz val="10"/>
        <rFont val="Arial"/>
        <family val="2"/>
      </rPr>
      <t xml:space="preserve">
</t>
    </r>
    <r>
      <rPr>
        <b/>
        <sz val="8"/>
        <rFont val="Arial"/>
        <family val="2"/>
      </rPr>
      <t>*Note2: Place an "X" in the appropriate category (only select one).</t>
    </r>
  </si>
  <si>
    <t>Sustainable Determination Made on Advanced Mitigation 
(Y or N)</t>
  </si>
  <si>
    <t xml:space="preserve">Max Possible </t>
  </si>
  <si>
    <t>Stream Valuation Metric:</t>
  </si>
  <si>
    <t>Cell B1 [USACE File No./Project Name] -Enter USACE File Number as well as the overall project name.  Mining-related projects should also include the SMCRA Permit No in this field.</t>
  </si>
  <si>
    <t>Cell L1 [Impact Site Lat.] – Enter latitude coordinate in NAD 83 Decimal Degrees</t>
  </si>
  <si>
    <t>Cell N1 [Impact Site Long.] – Enter longitude coordinate in NAD 83 Decimal Degrees</t>
  </si>
  <si>
    <t>Cell R1 [Weather] – Enter the weather conditions on the date the assessment was performed. Ex. Cloudy, 40 degrees.</t>
  </si>
  <si>
    <t>Cell X1 [Date] – Enter date of the assessment being performed</t>
  </si>
  <si>
    <t>Cell B2 [Stream Classification] – Enter the classification of stream being assessed.   Choices are provided from the drop-down list (i.e. ephemeral, intermittent or perennial)</t>
  </si>
  <si>
    <t>Cell L2 [Impact Stream/Site ID and Site Description] – Enter the stream name, stream segment identifier (which may correlate to a drawing), % streambed slope, watershed acreage and riparian condition (i.e. mature tree stratum)</t>
  </si>
  <si>
    <t>Cell W2 [Mitigation Stream Class/ Site ID Description] - Enter stream classification for stream that mitigation will be performed on and stream segment identifier (which may correlate to a drawing), % streambed slope, watershed acreage and riparian condition (i.e. mature tree stratum)</t>
  </si>
  <si>
    <t>Cell B3 [Stream Impact Length] – Enter the length of the impact (in linear feet)</t>
  </si>
  <si>
    <t>*Note: when using this metric to only assess mitigation (i.e. preservation) no impact length should be entered and no data is necessary in Column No. 1-Impact Existing Condition (Debit)</t>
  </si>
  <si>
    <t>Cell F3 [Form of Mitigation] – Enter the form of mitigation. Choices are provided from the drop-down list</t>
  </si>
  <si>
    <t>Cell L3 [Mitigation Site Lat.] – Enter the mitigation site latitude coordinate in NAD 83 Decimal Degrees</t>
  </si>
  <si>
    <t>Cell N3 [Mitigation Site Long.] – Enter the mitigation longitude coordinate in NAD 83 Decimal Degrees</t>
  </si>
  <si>
    <t>Cell R3 [Precipitation Past 48 Hrs] – Enter the past 48 hrs precipitation for the impact site being assessed</t>
  </si>
  <si>
    <t>Cell X3 [Mitigation Length] – Enter the linear feet of the compensatory mitigation proposed</t>
  </si>
  <si>
    <t>Part I – Physical, Chemical and Biological Indicators</t>
  </si>
  <si>
    <t>*Reference Part I above.</t>
  </si>
  <si>
    <t>For example purposes, a sediment pond restoration site (mitigation site) which formerly required total elimination of the riparian vegetative buffer and received a full re-vegetation application of native tree, shrub and grass stratum species would be expected to score within the following USEPA RBP individual parameter ranges (High Gradient Data Sheet) after five years of restoration.</t>
  </si>
  <si>
    <t>USEPA RBP</t>
  </si>
  <si>
    <t>Epifaunal Substrate</t>
  </si>
  <si>
    <t>Embeddedness</t>
  </si>
  <si>
    <t>Velocity Depth Regime</t>
  </si>
  <si>
    <t>Sediment Deposition</t>
  </si>
  <si>
    <t>Channel Flow Status</t>
  </si>
  <si>
    <t>Channel Alteration</t>
  </si>
  <si>
    <t>Frequency of Riffles</t>
  </si>
  <si>
    <t>Bank Stability</t>
  </si>
  <si>
    <t>(LB&amp;RB)</t>
  </si>
  <si>
    <t>Vetetative Protection</t>
  </si>
  <si>
    <t>Riparian Vegetative Zone</t>
  </si>
  <si>
    <t xml:space="preserve">All projects proposing compensatory mitigation (credit) to waters of the U.S. shall enter data in Column No. 5.  This column is utilized to establish the projected condition of the site at maturity.  The full restoration of a riparian buffer zone may require 40 or more years of sustained growth to contribute detritus and large woody debris, and provide light and temperature regulation.  </t>
  </si>
  <si>
    <t xml:space="preserve">PART II – Index and Unit Score - No data entry is required in Part II, the Index Score is multiplied by the linear feet of impact (debit) to generate a raw Unit Score.  </t>
  </si>
  <si>
    <t>Part III- Impact Factors</t>
  </si>
  <si>
    <t xml:space="preserve">Cell C8 [Temporal Loss-Construction] - Enter the number of years reflecting the duration of aquatic functional loss between the time of impact (debit) and completion of compensatory mitigation (credit).  For example, if Permittee-Responsible On-site mitigation is proposed and it will be five (5) years before the mitigation will be completed then enter a “5”.  </t>
  </si>
  <si>
    <t>DEFAULT VALUES: The default value for ILF is 4 years and Mitigation Banking (provided Mitigation Bank credits have been approved and are available) is 0 years.</t>
  </si>
  <si>
    <t xml:space="preserve">Cell C19 [Temporal Loss-Maturity] - Enter the number of years representing the period between completion of compensatory mitigation measures and the time required for maturity, as it relates to function (i.e. the full restoration of a riparian buffer zone may require 40 or more years of sustained growth to contribute detritus and large woody debris and provide light and temperature regulation).  </t>
  </si>
  <si>
    <t>Cell H7 [Long-term Protection] - Enter the number of years representing the period of protection proposed for the mitigation site.  Long-term protection is obtained via conservation easements or deed restrictions to ensure sustainable gains in values.  Perpetual protection should be entered as “101” or “Perpetual”.</t>
  </si>
  <si>
    <t>DEFAULT VALUES: The default value for Mitigation Banking and/or ILF is “Perpetual” since these projects are required by the IRT to obtain perpetual protection.</t>
  </si>
  <si>
    <t>Part IV- Comparison of Unit Scores and Projected Balance - No data entry is required.  This part depicts the “Final Unit Score (debit)” in comparison with the Mitigation Existing Condition (credit), Mitigation Projected Upon Completion (credit) and the Mitigation Projected at Maturity (credit).  The balance of the “Mitigation Projected at Maturity” shall be equal to or greater than the “Final Unit Score (debit)” to adequately offset the proposed impacts and be compliant with the national policy of “no net loss”.</t>
  </si>
  <si>
    <t xml:space="preserve">*Note: The yellow highlighted cells (Cells A43, C43 and D43) may be cut and copied to the next tab “Multiple Site Unit Comparison” for compiling data on multiple streams or stream segments.  For submittal purposes, the Multiple Site Unit Comparison should be accompanied by individual Stream Valuation Metric spreadsheets for each stream or stream segment.   </t>
  </si>
  <si>
    <t>Cells D32-D34 – Reference the IRT defined levels of Restoration and place an “x” in the appropriate Stream Restoration Level.</t>
  </si>
  <si>
    <t>Cells F34-F37 – Insert the width of the buffer zone up to 150 feet from each stream channel side.</t>
  </si>
  <si>
    <t>Cells H34-H35 and H37-H38 – Select from pull down box the class of buffer preservation and/or revegetation being performed.</t>
  </si>
  <si>
    <t>Wetland Valuation Metric:</t>
  </si>
  <si>
    <r>
      <t>Cell B1</t>
    </r>
    <r>
      <rPr>
        <sz val="10"/>
        <rFont val="Times New Roman"/>
        <family val="1"/>
      </rPr>
      <t xml:space="preserve"> [USACE File No./Project Name] -Enter USACE File Number as well as the overall project name.  Mining-related projects should also include the SMCRA Permit No in this field.</t>
    </r>
  </si>
  <si>
    <t>Cell L1 [Lat.] – Enter latitude coordinate in NAD 83 Decimal Degrees</t>
  </si>
  <si>
    <t>Cell N1 [Long.] – Enter longitude coordinate in NAD 83 Decimal Degrees</t>
  </si>
  <si>
    <t>Cell G2 [Stream/Site ID and Site Description] – Enter the wetland name, wetland identifier (which may correlate to a drawing), watershed acreage and riparian condition (i.e. mature tree stratum)</t>
  </si>
  <si>
    <t>Cell B3 [Wetland Impact Acreage] – Enter the acreage of the impact</t>
  </si>
  <si>
    <t>Cell M3 [Mitigation Acreage] – Enter the acreage of the compensatory mitigation proposed</t>
  </si>
  <si>
    <t>Cell B4 [Date] – Enter date of the assessment being performed</t>
  </si>
  <si>
    <t>Cell G3 [Weather Conditions] – Enter the weather conditions from the site during the assessment</t>
  </si>
  <si>
    <t>Cell M4 [Precipitation Past 48 Hrs] – Enter the past 48 hrs precipitation for the site being assessed</t>
  </si>
  <si>
    <t>Part I- Wetland Indicators</t>
  </si>
  <si>
    <t>Cells A7 – A18 [Wetland ID] - Enter the wetland identification for each wetland impact (which may correspond to a drawing)</t>
  </si>
  <si>
    <t>Cells B7 – B18 [Existing Classification] – Enter the wetland classification being assessed.  Choices are provided from the drop-down list.</t>
  </si>
  <si>
    <t>Cells D7 – D18 [Impacts] – Enter the amount of impacts (in acres) for each wetland.</t>
  </si>
  <si>
    <t>Cells F7 –F18 [Mitigation Classification] – Enter the wetland classification being mitigated.  Choices are provided from the drop-down list.</t>
  </si>
  <si>
    <t>Part II- Unit Scores - No data entry is required.  This part indicates the total Unit Scores or Replacement Units for each individual classification of wetlands.</t>
  </si>
  <si>
    <t>Part III- Advanced Mitigation - Enter a “Yes” or “No” to indicate compensatory mitigation has been completed and determined sustainable in advance of any proposed impacts.</t>
  </si>
  <si>
    <t>DEFAULT VALUES: Approved forms of advanced mitigation determined to be sustainable may be provided to offset impacts on a 1:1 ratio, within the same wetland classification.</t>
  </si>
  <si>
    <t>Estimated In-Lieu Fee Costs – A comparison of the In-Lieu Fee costs associated with the proposed impacts is provided for reference purposes.</t>
  </si>
  <si>
    <t>Part IV- Factors</t>
  </si>
  <si>
    <t xml:space="preserve">Cell C6 [Temporal Loss-Construction] - Enter the number of years reflecting the duration of aquatic functional loss between the time of impact (debit) and completion of compensatory mitigation (credit).  For example, if Permittee-Responsible On-site mitigation is proposed and it will be five (5) years before the mitigation will be completed then enter a “5”.  </t>
  </si>
  <si>
    <t>DEFAULT VALUES: The default value for ILF is 4 years and Mitigation Banking (providing Mitigation Bank credits have been approved and are available) is 0 years.</t>
  </si>
  <si>
    <t>Cell C17 [Temporal Loss-Maturity] - Enter the number of years representing the period between completion of compensatory mitigation measures and the time required for maturity, as it relates to function.</t>
  </si>
  <si>
    <t>Cell H5 [Long-term Protection] - Enter the number of years representing the period of protection proposed for the mitigation site.  Long-term protection is obtained via conservation easements or deed restrictions to ensure sustainable gains in values.  Perpetual protection should be entered as “101” or “Perpetual”.</t>
  </si>
  <si>
    <t>DEFAULT VALUES: The default value for Mitigation Banking and/or ILF is “Perpetual” since these projects are required to obtain perpetual protection.</t>
  </si>
  <si>
    <t xml:space="preserve">Part V- Final Unit Score - This part is utilized as a reference for obtaining the Replacement Index (debit), Final Unit Score to Offset (credit) and the balance.  The Final Unit Score has been adjusted to compensate for the factors input in Part IV and is the final figure necessary to be entirely offset by mitigation (credit).  </t>
  </si>
  <si>
    <t>Cell D25 [Form of Mitigation] – Enter the form of mitigation from the drop-down list.</t>
  </si>
  <si>
    <t>Cells H25 – H28 [Applicant Input Mitigation (acres)] - Enter the acreage for each classification of wetland mitigation being proposed.  The balance should be equal to or greater than the “Final Unit Score to Offset (credit)” to provide an adequate level of compensatory mitigation for offsetting the proposed impacts and be compliant with the national policy of “no net loss”.</t>
  </si>
  <si>
    <t>Based upon Avg Est lift 0.5</t>
  </si>
  <si>
    <t>ILF Costs 
(Offsetting Debit Units)</t>
  </si>
  <si>
    <t xml:space="preserve">PART V- Comparison of Unit Scores and Projected Balance 
</t>
  </si>
  <si>
    <t xml:space="preserve">PART III - Impact Factors
(See instruction page to insert default values for MITIGATION BANKING and ILF)
</t>
  </si>
  <si>
    <t xml:space="preserve">Part VI - Mitigation Considerations (Incentives)
</t>
  </si>
  <si>
    <r>
      <rPr>
        <b/>
        <sz val="10"/>
        <rFont val="Times New Roman"/>
        <family val="1"/>
      </rPr>
      <t>COLUMN No. 2</t>
    </r>
    <r>
      <rPr>
        <sz val="10"/>
        <rFont val="Times New Roman"/>
        <family val="1"/>
      </rPr>
      <t xml:space="preserve"> – Mitigation Existing Condition (Credit) - All projects proposing compensatory mitigation (credit) to waters of the U.S. shall enter data in Column No. 2.  This column is utilized to establish the baseline conditions for the mitigation site.  In cases where an impact and mitigation will occur at the exact same site (i.e. sediment pond construction and restoration), this column should reflect baseline mitigation conditions as “0”[1].</t>
    </r>
  </si>
  <si>
    <r>
      <rPr>
        <b/>
        <sz val="10"/>
        <rFont val="Times New Roman"/>
        <family val="1"/>
      </rPr>
      <t>COLUMN No. 5</t>
    </r>
    <r>
      <rPr>
        <sz val="10"/>
        <rFont val="Times New Roman"/>
        <family val="1"/>
      </rPr>
      <t>– Mitigation Projected Upon Maturity (Credit)</t>
    </r>
  </si>
  <si>
    <r>
      <rPr>
        <b/>
        <sz val="10"/>
        <rFont val="Times New Roman"/>
        <family val="1"/>
      </rPr>
      <t xml:space="preserve">COLUMN No. 4 </t>
    </r>
    <r>
      <rPr>
        <sz val="10"/>
        <rFont val="Times New Roman"/>
        <family val="1"/>
      </rPr>
      <t>– Mitigation Projected at Ten Years Post Completion (Credit) - All projects proposing compensatory mitigation (credit) to waters of the U.S. shall enter data in Column No. 4.  This column is utilized to establish the projected condition of the site after ten years of completion.  The ten year post-completion benchmark is also utilized to clearly identify performance standards and success criteria, which will be incorporated into Department of the Army Permits as special conditions.  The ten year post-completion benchmark is also utilized to clearly identify performance standards and success criteria, which will be incorporated into Department of the Army Permits as special conditions (when it is determined ten years of monitoring is appropriate by USACE).</t>
    </r>
  </si>
  <si>
    <r>
      <rPr>
        <b/>
        <sz val="10"/>
        <rFont val="Times New Roman"/>
        <family val="1"/>
      </rPr>
      <t>COLUMN No. 3</t>
    </r>
    <r>
      <rPr>
        <sz val="10"/>
        <rFont val="Times New Roman"/>
        <family val="1"/>
      </rPr>
      <t xml:space="preserve"> – Mitigation Projected at Five Years Post Completion (Credit) - All projects proposing compensatory mitigation (credit) to waters of the U.S. shall enter data in Column No. 3.  This column is utilized to establish the projected condition of the site after five years of completion.  Generally, there should not be a dramatic or substantial increase in functional unit scores between year 5 and 10 projected assessments (i.e. the duration of total stream buffer revegetation will typically be the last element to reach maturity for optimal functional input).  The five year post-completion benchmark is also utilized to clearly identify performance standards and success criteria, which will be incorporated into Department of the Army Permits as special conditions (when it is determined five years of monitoring is appropriate by USACE).</t>
    </r>
  </si>
  <si>
    <t xml:space="preserve">Part IV- Index to Unit Score Conversion - No data entry is required.  This section displays the final index score, which is utilized to generate a final debit unit score.  For your convenience, this section also indicates the ILF amount that would be required to offset the final debit units.  </t>
  </si>
  <si>
    <t xml:space="preserve">*Note: All forms of compensatory mitigation now focus upon offsetting the final (debit) units rather than the linear feet except where the SWVM is not applicable (i.e. non-wadeable stream impacts).  </t>
  </si>
  <si>
    <t>Part V – Comparison of Unit Scores and Projected Balance - No data entry is required.  This part depicts the “Final Unit Score (debit)” in comparison with the Mitigation Existing Condition-Baseline (credit), Mitigation Projected at Five Years (credit), Mitigation Projected at Ten Years (credit), and Mitigation Projected at Maturity (credit).  Functional lift is defined as the balance between the “Mitigation Existing Condition-Baseline” and “Mitigation Projected at Maturity”.  The balance of the “Mitigation Projected at Maturity” shall be equal to or greater than the “Final Unit Score (debit)” to adequately offset the proposed impacts and be compliant with the national policy of “no net loss”.</t>
  </si>
  <si>
    <t xml:space="preserve">Part VI - Mitigation Considerations </t>
  </si>
  <si>
    <t>Extent of Stream Restoration</t>
  </si>
  <si>
    <t>Extended Upland Buffer Zone</t>
  </si>
  <si>
    <t xml:space="preserve">The SWVM is composed of six tabs including the following: Instructions, Stream Parts I-II, Stream Parts III-VI, Multiple Site Unit Comparison, Wetland Parts I-III and Wetland Parts IV-V.  The SWVM has been designed to indicate where data entry is required.  All cells or fields highlighted in red shall be populated by the applicant, consultant or practitioner.  Below are descriptions of the information or data being requested:     </t>
  </si>
  <si>
    <t>Stream Parts I-II</t>
  </si>
  <si>
    <r>
      <rPr>
        <b/>
        <sz val="10"/>
        <rFont val="Times New Roman"/>
        <family val="1"/>
      </rPr>
      <t xml:space="preserve">COLUMN No. 1 </t>
    </r>
    <r>
      <rPr>
        <sz val="10"/>
        <rFont val="Times New Roman"/>
        <family val="1"/>
      </rPr>
      <t>– Impact Existing Condition (Debit) – This column establishes the baseline conditions of the proposed impact site.  All projects proposing an impact (debit) to waters of the U.S. shall enter data in this column, as follows:</t>
    </r>
  </si>
  <si>
    <t>Stream Parts III-VI</t>
  </si>
  <si>
    <t>Wetland Parts I-III</t>
  </si>
  <si>
    <t>Wetland Parts IV-V</t>
  </si>
  <si>
    <t>Multiple Site Unit Comparison</t>
  </si>
  <si>
    <t>8-12</t>
  </si>
  <si>
    <t>6-10</t>
  </si>
  <si>
    <t>8-13</t>
  </si>
  <si>
    <t>11-15</t>
  </si>
  <si>
    <t>11-18</t>
  </si>
  <si>
    <t>12-16</t>
  </si>
  <si>
    <t>When assessing multiple reaches or streams Cell Nos. A43-C43 should be copied and pasted into this table, which keeps a running tally of the debits and credits.  When pasting choose "Paste Special" and then select "values and number format".</t>
  </si>
  <si>
    <t>RESTORATION (Levels I-III)</t>
  </si>
  <si>
    <t>ENHANCEMENT</t>
  </si>
  <si>
    <t>PRESERVATION</t>
  </si>
  <si>
    <r>
      <t>&lt;</t>
    </r>
    <r>
      <rPr>
        <sz val="8"/>
        <color theme="0"/>
        <rFont val="Arial"/>
        <family val="2"/>
      </rPr>
      <t xml:space="preserve"> 22 </t>
    </r>
  </si>
  <si>
    <t>1.0-.95</t>
  </si>
  <si>
    <t>.94-.90</t>
  </si>
  <si>
    <t>.89-.85</t>
  </si>
  <si>
    <t>.84-.80</t>
  </si>
  <si>
    <t>Preservation Range</t>
  </si>
  <si>
    <t>Percent</t>
  </si>
  <si>
    <t>Multiplier:</t>
  </si>
  <si>
    <t>Total Preservation Incentive=</t>
  </si>
  <si>
    <t>Total Buffer Incentive=</t>
  </si>
  <si>
    <t>Total Restoration Incentive=</t>
  </si>
  <si>
    <t>Inner Buffer (0-50'/Bank)</t>
  </si>
  <si>
    <t>Outer Buffer (51-150'/Bank)</t>
  </si>
  <si>
    <t>Overall Preservation Percentage Added=</t>
  </si>
  <si>
    <t>Percent Stream Channel Slope</t>
  </si>
  <si>
    <t>RESTORATION/ENHANCEMENT BUFFER</t>
  </si>
  <si>
    <t>PRESERVATION BUFFER</t>
  </si>
  <si>
    <t>Applicant Input 
Mitigation (Credit)</t>
  </si>
  <si>
    <t>Adjusted Final Unit Score
 to Offset (Debit)</t>
  </si>
  <si>
    <t xml:space="preserve">Replacement Index
 </t>
  </si>
  <si>
    <t>Average Buffer Width</t>
  </si>
  <si>
    <t>151-300</t>
  </si>
  <si>
    <t>Middle Buffer (51-150'/Bank)</t>
  </si>
  <si>
    <t>50 foot buffer cap:</t>
  </si>
  <si>
    <t>150 foot buffer cap:</t>
  </si>
  <si>
    <r>
      <t xml:space="preserve">MITIGATION STREAM CLASS./SITE ID AND SITE DESCRIPTION:
</t>
    </r>
    <r>
      <rPr>
        <b/>
        <sz val="8"/>
        <rFont val="Arial"/>
        <family val="2"/>
      </rPr>
      <t xml:space="preserve">(watershed size {acreage}, unaltered or impairments) </t>
    </r>
  </si>
  <si>
    <r>
      <t xml:space="preserve">IMPACT STREAM/SITE ID AND SITE DESCRIPTION:
</t>
    </r>
    <r>
      <rPr>
        <b/>
        <sz val="8"/>
        <rFont val="Arial"/>
        <family val="2"/>
      </rPr>
      <t xml:space="preserve">(watershed size {acreage}, unaltered or impairments) </t>
    </r>
  </si>
  <si>
    <t>Comments:</t>
  </si>
  <si>
    <t>Impact
Wetland ID:</t>
  </si>
  <si>
    <t>Impact
Wetland Classification</t>
  </si>
  <si>
    <t>Mitigation 
Wetland
Classification</t>
  </si>
  <si>
    <t>Impacts
(acreage)</t>
  </si>
  <si>
    <r>
      <t xml:space="preserve">Compensatory Mitigation Plan incorporates HUC 12-based watershed approach?   (Yes or No)
</t>
    </r>
    <r>
      <rPr>
        <sz val="8"/>
        <rFont val="Arial"/>
        <family val="2"/>
      </rPr>
      <t>*Note: HUC 12-based watershed approach required to obtain Stream Restoration incentive</t>
    </r>
  </si>
  <si>
    <r>
      <t xml:space="preserve">Extended Upland Buffer Zone 
</t>
    </r>
    <r>
      <rPr>
        <b/>
        <sz val="8"/>
        <rFont val="Arial"/>
        <family val="2"/>
      </rPr>
      <t>*Note</t>
    </r>
    <r>
      <rPr>
        <b/>
        <vertAlign val="superscript"/>
        <sz val="8"/>
        <rFont val="Arial"/>
        <family val="2"/>
      </rPr>
      <t>1</t>
    </r>
    <r>
      <rPr>
        <b/>
        <sz val="8"/>
        <rFont val="Arial"/>
        <family val="2"/>
      </rPr>
      <t>: Reference Instructional handout for the definitions of the Buffer Zone Mitigation Extents and Types (below)
*Note</t>
    </r>
    <r>
      <rPr>
        <b/>
        <vertAlign val="superscript"/>
        <sz val="8"/>
        <rFont val="Arial"/>
        <family val="2"/>
      </rPr>
      <t>2</t>
    </r>
    <r>
      <rPr>
        <b/>
        <sz val="8"/>
        <rFont val="Arial"/>
        <family val="2"/>
      </rPr>
      <t>: Select the appropriate mitigation type</t>
    </r>
  </si>
  <si>
    <t>Mitigation Type</t>
  </si>
  <si>
    <t>Cells F16 – Insert the average width of the buffer zone up to 150 feet from wetland boundary.</t>
  </si>
  <si>
    <t>Cells H16-H17 – Select from pull down box the class of buffer preservation and/or revegetation being performed.</t>
  </si>
  <si>
    <t>Stream Classification:</t>
  </si>
  <si>
    <r>
      <t xml:space="preserve">Cells </t>
    </r>
    <r>
      <rPr>
        <sz val="10"/>
        <color rgb="FFFF0000"/>
        <rFont val="Times New Roman"/>
        <family val="1"/>
      </rPr>
      <t>B9 – B11</t>
    </r>
    <r>
      <rPr>
        <sz val="10"/>
        <rFont val="Times New Roman"/>
        <family val="1"/>
      </rPr>
      <t xml:space="preserve"> [HGM] – Input Hydrology, Biogeochemical Cycling and Habitat Functional Capacity Index (FCI) scores generated by completing the HGM assessment, when applicable.  HGM data forms should accompany the submittal of SWVM assessments.  An average is taken between the three HGM FCI scores.  This is then averaged with the overall SWVM score to indicate a final index score.  </t>
    </r>
  </si>
  <si>
    <r>
      <t xml:space="preserve">Cells </t>
    </r>
    <r>
      <rPr>
        <sz val="10"/>
        <color rgb="FFFF0000"/>
        <rFont val="Times New Roman"/>
        <family val="1"/>
      </rPr>
      <t xml:space="preserve">D15 – D25 </t>
    </r>
    <r>
      <rPr>
        <sz val="10"/>
        <rFont val="Times New Roman"/>
        <family val="1"/>
      </rPr>
      <t xml:space="preserve">[Physical Indicator] - Indicate the physical condition of the stream by applying the USEPA RBP.  The Physical descriptor for streams relies upon the data collected for the USEPA RBP Stream Data Sheet.  This part of the metric allows the user to choose the High Gradient or Low Gradient Stream Data Sheet, as applicable.  This portion of the Part I is required for all stream classifications.  When completing impact and mitigation site assessments on high-gradient Ephemeral streams, practitioners should insert “0”s in fields 1, 3, 5 and 7 of the USEPA RBPs.      </t>
    </r>
  </si>
  <si>
    <r>
      <t xml:space="preserve">Cells </t>
    </r>
    <r>
      <rPr>
        <sz val="10"/>
        <color rgb="FFFF0000"/>
        <rFont val="Times New Roman"/>
        <family val="1"/>
      </rPr>
      <t xml:space="preserve">D31, D34 and D37 </t>
    </r>
    <r>
      <rPr>
        <sz val="10"/>
        <rFont val="Times New Roman"/>
        <family val="1"/>
      </rPr>
      <t xml:space="preserve">[Chemical Indicator] - Indicate the chemical condition or water quality of the stream by inputting the data, which is based upon key parameters historically utilized by the WVDEP.  This portion of Part I shall be completed for wadeable perennial, intermittent and ephemeral stream classifications (where applicable).  Ephemeral stream water quality data shall be obtained during (or a short period after) a precipitation event within the reach being assessed or immediately downstream.  When the immediate downstream method is necessary this shall be noted in Cell L2 or at the bottom of the assessment sheet.  In the event data for these fields are not provided, good water quality will be assumed.  </t>
    </r>
  </si>
  <si>
    <r>
      <t xml:space="preserve">Cell </t>
    </r>
    <r>
      <rPr>
        <sz val="10"/>
        <color rgb="FFFF0000"/>
        <rFont val="Times New Roman"/>
        <family val="1"/>
      </rPr>
      <t>D42</t>
    </r>
    <r>
      <rPr>
        <sz val="10"/>
        <rFont val="Times New Roman"/>
        <family val="1"/>
      </rPr>
      <t xml:space="preserve"> [Biological Indicator] - Indicate the biological condition of the stream by inputting the data based upon the West Virginia Stream Condition Index (WVSCI) of the WVDEP Save Our Stream Protocol.  It is recommended this portion of Part I be completed for perennial and intermittent stream classifications.  In the event this data cannot be obtained (i.e. ephemeral stream), the metric will generate an index score based upon the Physical and Chemical Indicators.</t>
    </r>
  </si>
  <si>
    <t>Cell G5 - Select Mitigation Stream Classification</t>
  </si>
  <si>
    <t>Cell I7 - Input Percent Stream Channel Slope for Mitigation Stream</t>
  </si>
  <si>
    <t>Cell D7 - Input Percent Stream Channel Slope for Impact Stream</t>
  </si>
  <si>
    <t>Cell B5 - Select Impact Stream Classification</t>
  </si>
  <si>
    <t>Sunny</t>
  </si>
  <si>
    <t>Mit Site A- Smith Creek</t>
  </si>
  <si>
    <t>Column No. 3- Mitigation Projected at Five Years
Post Completion (Credit)</t>
  </si>
  <si>
    <t>Column No. 4- Mitigation Projected at Ten Years
Post Completion (Credit)</t>
  </si>
  <si>
    <t>Column No. 5- Mitigation Projected at Maturity (Credit)</t>
  </si>
  <si>
    <t>ESTABLISHMENT</t>
  </si>
  <si>
    <t>8/10/2015</t>
  </si>
  <si>
    <t>No</t>
  </si>
  <si>
    <t>UNT Connor Run 
(Intermittent; 5 acre watershed; unaltered)</t>
  </si>
  <si>
    <t>UNT Garrett Creek
(Intermittent; 10 acre watershed; unaltered)</t>
  </si>
  <si>
    <t>Mit site reviewed with impact site field review on 19 June</t>
  </si>
  <si>
    <r>
      <t xml:space="preserve">USACE FILE NO./ Project Name:
</t>
    </r>
    <r>
      <rPr>
        <b/>
        <sz val="8"/>
        <color rgb="FFFF0000"/>
        <rFont val="Arial"/>
        <family val="2"/>
      </rPr>
      <t>(v2.1, Sept 2015)</t>
    </r>
  </si>
  <si>
    <r>
      <t xml:space="preserve">Straight Preservation Ratio  
</t>
    </r>
    <r>
      <rPr>
        <b/>
        <sz val="10"/>
        <color rgb="FFFF0000"/>
        <rFont val="Arial"/>
        <family val="2"/>
      </rPr>
      <t>(v2.1, Sept 2015)</t>
    </r>
  </si>
  <si>
    <r>
      <t xml:space="preserve">West Virginia Stream and Wetland Valuation Metric v2.1
</t>
    </r>
    <r>
      <rPr>
        <b/>
        <sz val="10"/>
        <rFont val="Arial"/>
        <family val="2"/>
      </rPr>
      <t>(September 2015)</t>
    </r>
  </si>
  <si>
    <t xml:space="preserve"> LRH-2015-0000  / Labor Development
SWVM v2.1  (w/ Sole Preservation)</t>
  </si>
  <si>
    <t>Cinnamon Creek; 35 acre watershed; impairments limited to two UNTs within headwaters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</si>
</sst>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09]dd\-mmm\-yy;@"/>
    <numFmt numFmtId="165" formatCode="&quot;$&quot;#,##0.00"/>
    <numFmt numFmtId="166" formatCode="0.000000"/>
    <numFmt numFmtId="167" formatCode="[$-409]mmmm\ d\,\ yyyy;@"/>
    <numFmt numFmtId="168" formatCode="0.000"/>
  </numFmts>
  <fonts count="90" x14ac:knownFonts="1">
    <font>
      <sz val="10"/>
      <name val="Arial"/>
    </font>
    <font>
      <sz val="10"/>
      <name val="Arial"/>
      <family val="2"/>
    </font>
    <font>
      <sz val="8"/>
      <name val="Arial"/>
      <family val="2"/>
    </font>
    <font>
      <b/>
      <sz val="10"/>
      <name val="Arial"/>
      <family val="2"/>
    </font>
    <font>
      <sz val="8"/>
      <name val="Arial"/>
      <family val="2"/>
    </font>
    <font>
      <b/>
      <sz val="8"/>
      <name val="Arial"/>
      <family val="2"/>
    </font>
    <font>
      <b/>
      <sz val="8"/>
      <name val="Arial"/>
      <family val="2"/>
    </font>
    <font>
      <u/>
      <sz val="8"/>
      <name val="Arial"/>
      <family val="2"/>
    </font>
    <font>
      <u/>
      <sz val="8"/>
      <name val="Arial"/>
      <family val="2"/>
    </font>
    <font>
      <i/>
      <sz val="8"/>
      <name val="Arial"/>
      <family val="2"/>
    </font>
    <font>
      <sz val="10"/>
      <name val="Arial"/>
      <family val="2"/>
    </font>
    <font>
      <sz val="10"/>
      <name val="Arial"/>
      <family val="2"/>
    </font>
    <font>
      <sz val="10"/>
      <color indexed="9"/>
      <name val="Arial"/>
      <family val="2"/>
    </font>
    <font>
      <b/>
      <sz val="12"/>
      <name val="Arial"/>
      <family val="2"/>
    </font>
    <font>
      <sz val="10"/>
      <color indexed="10"/>
      <name val="Arial"/>
      <family val="2"/>
    </font>
    <font>
      <b/>
      <sz val="11"/>
      <name val="Arial"/>
      <family val="2"/>
    </font>
    <font>
      <sz val="11"/>
      <name val="Arial"/>
      <family val="2"/>
    </font>
    <font>
      <b/>
      <sz val="11"/>
      <name val="Arial"/>
      <family val="2"/>
    </font>
    <font>
      <b/>
      <sz val="12"/>
      <name val="Arial"/>
      <family val="2"/>
    </font>
    <font>
      <sz val="10"/>
      <color indexed="10"/>
      <name val="Arial"/>
      <family val="2"/>
    </font>
    <font>
      <sz val="11"/>
      <color indexed="10"/>
      <name val="Arial"/>
      <family val="2"/>
    </font>
    <font>
      <b/>
      <sz val="11"/>
      <color indexed="9"/>
      <name val="Arial"/>
      <family val="2"/>
    </font>
    <font>
      <sz val="10"/>
      <name val="Arial"/>
      <family val="2"/>
    </font>
    <font>
      <b/>
      <sz val="11"/>
      <color indexed="9"/>
      <name val="Arial"/>
      <family val="2"/>
    </font>
    <font>
      <b/>
      <sz val="10"/>
      <color indexed="9"/>
      <name val="Arial"/>
      <family val="2"/>
    </font>
    <font>
      <sz val="9"/>
      <color indexed="9"/>
      <name val="Arial"/>
      <family val="2"/>
    </font>
    <font>
      <b/>
      <sz val="8"/>
      <color indexed="9"/>
      <name val="Arial"/>
      <family val="2"/>
    </font>
    <font>
      <sz val="8"/>
      <color indexed="9"/>
      <name val="Arial"/>
      <family val="2"/>
    </font>
    <font>
      <sz val="10"/>
      <color indexed="9"/>
      <name val="Arial"/>
      <family val="2"/>
    </font>
    <font>
      <b/>
      <sz val="12"/>
      <color indexed="9"/>
      <name val="Arial"/>
      <family val="2"/>
    </font>
    <font>
      <sz val="8"/>
      <color indexed="9"/>
      <name val="Arial"/>
      <family val="2"/>
    </font>
    <font>
      <b/>
      <sz val="10"/>
      <color indexed="9"/>
      <name val="Arial"/>
      <family val="2"/>
    </font>
    <font>
      <b/>
      <sz val="8"/>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4"/>
      <name val="Arial"/>
      <family val="2"/>
    </font>
    <font>
      <sz val="8"/>
      <color indexed="22"/>
      <name val="Arial"/>
      <family val="2"/>
    </font>
    <font>
      <sz val="10"/>
      <name val="Arial"/>
      <family val="2"/>
    </font>
    <font>
      <i/>
      <sz val="8"/>
      <name val="Arial"/>
      <family val="2"/>
    </font>
    <font>
      <sz val="10"/>
      <name val="Arial"/>
      <family val="2"/>
    </font>
    <font>
      <u/>
      <sz val="8"/>
      <color indexed="9"/>
      <name val="Arial"/>
      <family val="2"/>
    </font>
    <font>
      <sz val="10"/>
      <color theme="0"/>
      <name val="Arial"/>
      <family val="2"/>
    </font>
    <font>
      <sz val="10"/>
      <color rgb="FFFF0000"/>
      <name val="Arial"/>
      <family val="2"/>
    </font>
    <font>
      <b/>
      <sz val="10"/>
      <color rgb="FFFF0000"/>
      <name val="Arial"/>
      <family val="2"/>
    </font>
    <font>
      <b/>
      <sz val="10"/>
      <color theme="0"/>
      <name val="Arial"/>
      <family val="2"/>
    </font>
    <font>
      <b/>
      <sz val="8"/>
      <color theme="0"/>
      <name val="Arial"/>
      <family val="2"/>
    </font>
    <font>
      <sz val="8"/>
      <color theme="0"/>
      <name val="Arial"/>
      <family val="2"/>
    </font>
    <font>
      <b/>
      <vertAlign val="superscript"/>
      <sz val="8"/>
      <name val="Arial"/>
      <family val="2"/>
    </font>
    <font>
      <i/>
      <sz val="9"/>
      <name val="Arial"/>
      <family val="2"/>
    </font>
    <font>
      <b/>
      <sz val="9"/>
      <name val="Arial"/>
      <family val="2"/>
    </font>
    <font>
      <sz val="9"/>
      <name val="Arial"/>
      <family val="2"/>
    </font>
    <font>
      <sz val="8"/>
      <color theme="0" tint="-0.24994659260841701"/>
      <name val="Arial"/>
      <family val="2"/>
    </font>
    <font>
      <b/>
      <sz val="11"/>
      <color theme="0"/>
      <name val="Arial"/>
      <family val="2"/>
    </font>
    <font>
      <b/>
      <sz val="14"/>
      <name val="Arial"/>
      <family val="2"/>
    </font>
    <font>
      <sz val="10"/>
      <name val="Times New Roman"/>
      <family val="1"/>
    </font>
    <font>
      <b/>
      <i/>
      <u/>
      <sz val="14"/>
      <name val="Arial"/>
      <family val="2"/>
    </font>
    <font>
      <b/>
      <sz val="10"/>
      <name val="Times New Roman"/>
      <family val="1"/>
    </font>
    <font>
      <b/>
      <sz val="8"/>
      <name val="Times New Roman"/>
      <family val="1"/>
    </font>
    <font>
      <sz val="8"/>
      <name val="Times New Roman"/>
      <family val="1"/>
    </font>
    <font>
      <sz val="10"/>
      <color rgb="FFFF0000"/>
      <name val="Times New Roman"/>
      <family val="1"/>
    </font>
    <font>
      <u/>
      <sz val="7.5"/>
      <color theme="10"/>
      <name val="Arial"/>
      <family val="2"/>
    </font>
    <font>
      <b/>
      <sz val="22"/>
      <name val="Arial"/>
      <family val="2"/>
    </font>
    <font>
      <u/>
      <sz val="10"/>
      <name val="Times New Roman"/>
      <family val="1"/>
    </font>
    <font>
      <b/>
      <sz val="8"/>
      <color rgb="FFFF0000"/>
      <name val="Arial"/>
      <family val="2"/>
    </font>
    <font>
      <sz val="8"/>
      <color rgb="FFFF0000"/>
      <name val="Arial"/>
      <family val="2"/>
    </font>
    <font>
      <u/>
      <sz val="8"/>
      <color theme="0"/>
      <name val="Arial"/>
      <family val="2"/>
    </font>
    <font>
      <b/>
      <sz val="16"/>
      <name val="Arial"/>
      <family val="2"/>
    </font>
    <font>
      <sz val="11"/>
      <color theme="0"/>
      <name val="Arial"/>
      <family val="2"/>
    </font>
    <font>
      <b/>
      <sz val="12"/>
      <color rgb="FF66FF33"/>
      <name val="Arial"/>
      <family val="2"/>
    </font>
    <font>
      <b/>
      <sz val="12"/>
      <color rgb="FFFFFF00"/>
      <name val="Arial"/>
      <family val="2"/>
    </font>
    <font>
      <b/>
      <vertAlign val="subscript"/>
      <sz val="8"/>
      <name val="Arial"/>
      <family val="2"/>
    </font>
    <font>
      <b/>
      <sz val="11"/>
      <color rgb="FFFF0000"/>
      <name val="Arial"/>
      <family val="2"/>
    </font>
    <font>
      <b/>
      <sz val="11"/>
      <color theme="1"/>
      <name val="Arial"/>
      <family val="2"/>
    </font>
    <font>
      <sz val="10"/>
      <color rgb="FF000000"/>
      <name val="Arial"/>
      <family val="2"/>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9"/>
        <bgColor indexed="64"/>
      </patternFill>
    </fill>
    <fill>
      <patternFill patternType="darkUp">
        <bgColor indexed="43"/>
      </patternFill>
    </fill>
    <fill>
      <patternFill patternType="solid">
        <fgColor indexed="22"/>
        <bgColor indexed="64"/>
      </patternFill>
    </fill>
    <fill>
      <patternFill patternType="solid">
        <fgColor indexed="43"/>
        <bgColor indexed="64"/>
      </patternFill>
    </fill>
    <fill>
      <patternFill patternType="gray0625"/>
    </fill>
    <fill>
      <patternFill patternType="solid">
        <fgColor indexed="42"/>
        <bgColor indexed="64"/>
      </patternFill>
    </fill>
    <fill>
      <patternFill patternType="solid">
        <fgColor indexed="26"/>
        <bgColor indexed="64"/>
      </patternFill>
    </fill>
    <fill>
      <patternFill patternType="solid">
        <fgColor indexed="27"/>
        <bgColor indexed="64"/>
      </patternFill>
    </fill>
    <fill>
      <patternFill patternType="solid">
        <fgColor indexed="65"/>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
      <patternFill patternType="gray0625">
        <bgColor indexed="29"/>
      </patternFill>
    </fill>
    <fill>
      <patternFill patternType="solid">
        <fgColor indexed="46"/>
        <bgColor indexed="64"/>
      </patternFill>
    </fill>
    <fill>
      <patternFill patternType="solid">
        <fgColor indexed="11"/>
        <bgColor indexed="64"/>
      </patternFill>
    </fill>
    <fill>
      <patternFill patternType="gray125">
        <bgColor indexed="13"/>
      </patternFill>
    </fill>
    <fill>
      <patternFill patternType="solid">
        <fgColor theme="0" tint="-0.24994659260841701"/>
        <bgColor indexed="64"/>
      </patternFill>
    </fill>
    <fill>
      <patternFill patternType="solid">
        <fgColor theme="0"/>
        <bgColor indexed="64"/>
      </patternFill>
    </fill>
    <fill>
      <patternFill patternType="solid">
        <fgColor rgb="FFFFFFCC"/>
        <bgColor indexed="64"/>
      </patternFill>
    </fill>
    <fill>
      <patternFill patternType="solid">
        <fgColor rgb="FFFFFF00"/>
        <bgColor indexed="64"/>
      </patternFill>
    </fill>
    <fill>
      <patternFill patternType="solid">
        <fgColor rgb="FFFF8080"/>
        <bgColor indexed="64"/>
      </patternFill>
    </fill>
    <fill>
      <patternFill patternType="solid">
        <fgColor rgb="FF99CCFF"/>
        <bgColor indexed="64"/>
      </patternFill>
    </fill>
    <fill>
      <patternFill patternType="solid">
        <fgColor rgb="FFFFFF99"/>
        <bgColor indexed="64"/>
      </patternFill>
    </fill>
    <fill>
      <patternFill patternType="solid">
        <fgColor rgb="FF92D050"/>
        <bgColor indexed="64"/>
      </patternFill>
    </fill>
    <fill>
      <patternFill patternType="solid">
        <fgColor rgb="FFFF7C80"/>
        <bgColor indexed="64"/>
      </patternFill>
    </fill>
    <fill>
      <patternFill patternType="solid">
        <fgColor rgb="FFCCFFFF"/>
        <bgColor indexed="64"/>
      </patternFill>
    </fill>
    <fill>
      <patternFill patternType="solid">
        <fgColor rgb="FF66FFFF"/>
        <bgColor indexed="64"/>
      </patternFill>
    </fill>
    <fill>
      <patternFill patternType="gray0625">
        <bgColor theme="0"/>
      </patternFill>
    </fill>
  </fills>
  <borders count="7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right style="double">
        <color indexed="64"/>
      </right>
      <top/>
      <bottom/>
      <diagonal/>
    </border>
    <border>
      <left style="thin">
        <color indexed="64"/>
      </left>
      <right style="double">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diagonal/>
    </border>
    <border>
      <left style="thin">
        <color auto="1"/>
      </left>
      <right style="medium">
        <color indexed="64"/>
      </right>
      <top/>
      <bottom style="medium">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s>
  <cellStyleXfs count="59">
    <xf numFmtId="0" fontId="0" fillId="0" borderId="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3"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0" applyNumberFormat="0" applyFill="0" applyBorder="0" applyAlignment="0" applyProtection="0"/>
    <xf numFmtId="0" fontId="39" fillId="4"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7" borderId="1" applyNumberFormat="0" applyAlignment="0" applyProtection="0"/>
    <xf numFmtId="0" fontId="44" fillId="0" borderId="6" applyNumberFormat="0" applyFill="0" applyAlignment="0" applyProtection="0"/>
    <xf numFmtId="0" fontId="45" fillId="22"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23" borderId="7" applyNumberFormat="0" applyFont="0" applyAlignment="0" applyProtection="0"/>
    <xf numFmtId="0" fontId="46" fillId="20" borderId="8" applyNumberFormat="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applyNumberFormat="0" applyFill="0" applyBorder="0" applyAlignment="0" applyProtection="0">
      <alignment vertical="top"/>
      <protection locked="0"/>
    </xf>
  </cellStyleXfs>
  <cellXfs count="796">
    <xf numFmtId="0" fontId="0" fillId="0" borderId="0" xfId="0"/>
    <xf numFmtId="0" fontId="4" fillId="0" borderId="10" xfId="0" applyFont="1" applyBorder="1" applyAlignment="1">
      <alignment horizontal="center" vertical="top" wrapText="1"/>
    </xf>
    <xf numFmtId="0" fontId="4" fillId="0" borderId="10" xfId="0" applyFont="1" applyFill="1" applyBorder="1" applyAlignment="1">
      <alignment horizontal="center" vertical="top" wrapText="1"/>
    </xf>
    <xf numFmtId="0" fontId="8" fillId="0" borderId="10" xfId="0" applyFont="1" applyBorder="1" applyAlignment="1">
      <alignment horizontal="left" vertical="top" wrapText="1"/>
    </xf>
    <xf numFmtId="49" fontId="4" fillId="0" borderId="10" xfId="0" applyNumberFormat="1" applyFont="1" applyBorder="1" applyAlignment="1">
      <alignment horizontal="left" vertical="top" wrapText="1"/>
    </xf>
    <xf numFmtId="0" fontId="4" fillId="0" borderId="10" xfId="0" applyFont="1" applyBorder="1" applyAlignment="1">
      <alignment horizontal="left" vertical="top" wrapText="1"/>
    </xf>
    <xf numFmtId="0" fontId="2" fillId="24" borderId="0" xfId="0" applyFont="1" applyFill="1" applyBorder="1" applyAlignment="1"/>
    <xf numFmtId="0" fontId="2" fillId="24" borderId="0" xfId="0" applyFont="1" applyFill="1" applyBorder="1" applyAlignment="1">
      <alignment horizontal="center"/>
    </xf>
    <xf numFmtId="0" fontId="0" fillId="24" borderId="0" xfId="0" applyFill="1"/>
    <xf numFmtId="0" fontId="10" fillId="24" borderId="0" xfId="0" applyFont="1" applyFill="1" applyBorder="1" applyAlignment="1"/>
    <xf numFmtId="0" fontId="24" fillId="24" borderId="0" xfId="0" applyFont="1" applyFill="1" applyBorder="1" applyAlignment="1" applyProtection="1">
      <alignment horizontal="center" vertical="center"/>
      <protection hidden="1"/>
    </xf>
    <xf numFmtId="0" fontId="0" fillId="0" borderId="0" xfId="0" applyAlignment="1">
      <alignment horizontal="left"/>
    </xf>
    <xf numFmtId="0" fontId="0" fillId="0" borderId="0" xfId="0" applyAlignment="1">
      <alignment horizontal="center" vertical="top" wrapText="1"/>
    </xf>
    <xf numFmtId="164" fontId="23" fillId="24" borderId="0" xfId="0" applyNumberFormat="1" applyFont="1" applyFill="1" applyBorder="1" applyAlignment="1" applyProtection="1">
      <alignment horizontal="center" vertical="top"/>
      <protection hidden="1"/>
    </xf>
    <xf numFmtId="0" fontId="24" fillId="24" borderId="0" xfId="0" applyFont="1" applyFill="1" applyBorder="1" applyAlignment="1" applyProtection="1">
      <alignment horizontal="left" vertical="center" wrapText="1"/>
      <protection hidden="1"/>
    </xf>
    <xf numFmtId="0" fontId="25" fillId="24" borderId="0" xfId="0" applyFont="1" applyFill="1" applyBorder="1" applyAlignment="1" applyProtection="1">
      <alignment horizontal="left" vertical="top" wrapText="1"/>
      <protection hidden="1"/>
    </xf>
    <xf numFmtId="0" fontId="26" fillId="24" borderId="0" xfId="0" applyFont="1" applyFill="1" applyBorder="1" applyAlignment="1" applyProtection="1">
      <alignment horizontal="center" vertical="top" wrapText="1"/>
      <protection hidden="1"/>
    </xf>
    <xf numFmtId="9" fontId="26" fillId="24" borderId="0" xfId="0" applyNumberFormat="1" applyFont="1" applyFill="1" applyBorder="1" applyAlignment="1" applyProtection="1">
      <alignment horizontal="center"/>
      <protection hidden="1"/>
    </xf>
    <xf numFmtId="0" fontId="27" fillId="24" borderId="0" xfId="0" applyFont="1" applyFill="1" applyBorder="1" applyAlignment="1" applyProtection="1">
      <protection hidden="1"/>
    </xf>
    <xf numFmtId="9" fontId="27" fillId="24" borderId="0" xfId="0" applyNumberFormat="1" applyFont="1" applyFill="1" applyBorder="1" applyAlignment="1" applyProtection="1">
      <alignment horizontal="center" vertical="center"/>
      <protection hidden="1"/>
    </xf>
    <xf numFmtId="0" fontId="27" fillId="24" borderId="0" xfId="0" applyFont="1" applyFill="1" applyBorder="1" applyAlignment="1" applyProtection="1">
      <alignment horizontal="center" vertical="center"/>
      <protection hidden="1"/>
    </xf>
    <xf numFmtId="0" fontId="27" fillId="24" borderId="0" xfId="0" applyFont="1" applyFill="1" applyBorder="1" applyAlignment="1" applyProtection="1">
      <alignment horizontal="center"/>
      <protection hidden="1"/>
    </xf>
    <xf numFmtId="0" fontId="27" fillId="24" borderId="0" xfId="0" applyNumberFormat="1" applyFont="1" applyFill="1" applyBorder="1" applyAlignment="1" applyProtection="1">
      <alignment horizontal="center" vertical="center"/>
      <protection hidden="1"/>
    </xf>
    <xf numFmtId="0" fontId="28" fillId="24" borderId="0" xfId="0" applyFont="1" applyFill="1" applyBorder="1" applyAlignment="1" applyProtection="1">
      <alignment horizontal="center"/>
      <protection hidden="1"/>
    </xf>
    <xf numFmtId="0" fontId="28" fillId="24" borderId="0" xfId="0" applyFont="1" applyFill="1" applyBorder="1" applyProtection="1">
      <protection hidden="1"/>
    </xf>
    <xf numFmtId="0" fontId="24" fillId="24" borderId="0" xfId="0" applyFont="1" applyFill="1" applyBorder="1" applyAlignment="1" applyProtection="1">
      <alignment horizontal="center" vertical="center" wrapText="1"/>
      <protection hidden="1"/>
    </xf>
    <xf numFmtId="0" fontId="28" fillId="24" borderId="0" xfId="0" applyFont="1" applyFill="1" applyBorder="1" applyAlignment="1" applyProtection="1">
      <alignment horizontal="center" vertical="top" wrapText="1"/>
      <protection hidden="1"/>
    </xf>
    <xf numFmtId="0" fontId="28" fillId="24" borderId="0" xfId="0" applyFont="1" applyFill="1" applyBorder="1" applyAlignment="1" applyProtection="1">
      <alignment horizontal="left" vertical="top"/>
      <protection hidden="1"/>
    </xf>
    <xf numFmtId="0" fontId="28" fillId="24" borderId="0" xfId="0" applyFont="1" applyFill="1" applyBorder="1" applyAlignment="1" applyProtection="1">
      <protection hidden="1"/>
    </xf>
    <xf numFmtId="0" fontId="24" fillId="24" borderId="0" xfId="0" applyNumberFormat="1" applyFont="1" applyFill="1" applyBorder="1" applyAlignment="1" applyProtection="1">
      <alignment horizontal="center" vertical="center"/>
      <protection hidden="1"/>
    </xf>
    <xf numFmtId="0" fontId="24" fillId="24" borderId="0" xfId="0" applyFont="1" applyFill="1" applyBorder="1" applyAlignment="1" applyProtection="1">
      <alignment horizontal="center" vertical="top"/>
      <protection hidden="1"/>
    </xf>
    <xf numFmtId="0" fontId="29" fillId="24" borderId="0" xfId="0" applyFont="1" applyFill="1" applyBorder="1" applyAlignment="1" applyProtection="1">
      <alignment vertical="top" wrapText="1"/>
      <protection hidden="1"/>
    </xf>
    <xf numFmtId="0" fontId="12" fillId="24" borderId="0" xfId="0" applyFont="1" applyFill="1" applyBorder="1" applyProtection="1">
      <protection hidden="1"/>
    </xf>
    <xf numFmtId="0" fontId="14" fillId="24" borderId="0" xfId="0" applyFont="1" applyFill="1" applyBorder="1" applyProtection="1">
      <protection hidden="1"/>
    </xf>
    <xf numFmtId="0" fontId="30" fillId="24" borderId="0" xfId="0" applyFont="1" applyFill="1" applyBorder="1" applyAlignment="1" applyProtection="1">
      <alignment horizontal="center" vertical="center"/>
      <protection hidden="1"/>
    </xf>
    <xf numFmtId="0" fontId="30" fillId="24" borderId="0" xfId="0" applyFont="1" applyFill="1" applyBorder="1" applyAlignment="1" applyProtection="1">
      <alignment horizontal="center"/>
      <protection hidden="1"/>
    </xf>
    <xf numFmtId="0" fontId="30" fillId="24" borderId="0" xfId="0" applyNumberFormat="1" applyFont="1" applyFill="1" applyBorder="1" applyAlignment="1" applyProtection="1">
      <alignment horizontal="center" vertical="center"/>
      <protection hidden="1"/>
    </xf>
    <xf numFmtId="9" fontId="30" fillId="24" borderId="0" xfId="0" applyNumberFormat="1" applyFont="1" applyFill="1" applyBorder="1" applyAlignment="1" applyProtection="1">
      <alignment horizontal="center" vertical="center"/>
      <protection hidden="1"/>
    </xf>
    <xf numFmtId="0" fontId="31" fillId="24" borderId="0" xfId="0" applyFont="1" applyFill="1" applyBorder="1" applyAlignment="1" applyProtection="1">
      <alignment horizontal="center" vertical="center"/>
      <protection hidden="1"/>
    </xf>
    <xf numFmtId="0" fontId="12" fillId="24" borderId="0" xfId="0" applyFont="1" applyFill="1" applyBorder="1" applyAlignment="1" applyProtection="1">
      <alignment horizontal="center"/>
      <protection hidden="1"/>
    </xf>
    <xf numFmtId="0" fontId="12" fillId="24" borderId="0" xfId="0" applyFont="1" applyFill="1" applyProtection="1">
      <protection hidden="1"/>
    </xf>
    <xf numFmtId="0" fontId="0" fillId="24" borderId="15" xfId="0" applyFill="1" applyBorder="1" applyAlignment="1" applyProtection="1">
      <protection hidden="1"/>
    </xf>
    <xf numFmtId="0" fontId="0" fillId="24" borderId="15" xfId="0" applyFill="1" applyBorder="1" applyProtection="1">
      <protection hidden="1"/>
    </xf>
    <xf numFmtId="0" fontId="3" fillId="27" borderId="11" xfId="0" applyFont="1" applyFill="1" applyBorder="1" applyAlignment="1" applyProtection="1">
      <alignment horizontal="left"/>
      <protection hidden="1"/>
    </xf>
    <xf numFmtId="0" fontId="2" fillId="0" borderId="10" xfId="0" applyFont="1" applyBorder="1" applyAlignment="1" applyProtection="1">
      <alignment horizontal="center"/>
      <protection hidden="1"/>
    </xf>
    <xf numFmtId="0" fontId="2" fillId="29" borderId="17" xfId="0" applyFont="1" applyFill="1" applyBorder="1" applyProtection="1">
      <protection hidden="1"/>
    </xf>
    <xf numFmtId="0" fontId="52" fillId="27" borderId="13" xfId="0" applyNumberFormat="1" applyFont="1" applyFill="1" applyBorder="1" applyAlignment="1" applyProtection="1">
      <alignment horizontal="center" vertical="center"/>
      <protection hidden="1"/>
    </xf>
    <xf numFmtId="0" fontId="6" fillId="31" borderId="15" xfId="0" applyFont="1" applyFill="1" applyBorder="1" applyAlignment="1" applyProtection="1">
      <protection hidden="1"/>
    </xf>
    <xf numFmtId="0" fontId="6" fillId="31" borderId="18" xfId="0" applyFont="1" applyFill="1" applyBorder="1" applyAlignment="1" applyProtection="1">
      <protection hidden="1"/>
    </xf>
    <xf numFmtId="0" fontId="15" fillId="30" borderId="10" xfId="0" applyFont="1" applyFill="1" applyBorder="1" applyAlignment="1" applyProtection="1">
      <alignment vertical="top"/>
      <protection hidden="1"/>
    </xf>
    <xf numFmtId="0" fontId="0" fillId="0" borderId="10" xfId="0" applyBorder="1" applyAlignment="1" applyProtection="1">
      <alignment horizontal="center" vertical="top" wrapText="1"/>
      <protection hidden="1"/>
    </xf>
    <xf numFmtId="0" fontId="3" fillId="28" borderId="10" xfId="0" applyFont="1" applyFill="1" applyBorder="1" applyAlignment="1" applyProtection="1">
      <alignment horizontal="center" vertical="center"/>
      <protection hidden="1"/>
    </xf>
    <xf numFmtId="0" fontId="0" fillId="0" borderId="10" xfId="0" applyFill="1" applyBorder="1" applyAlignment="1" applyProtection="1">
      <alignment horizontal="center" vertical="top" wrapText="1"/>
      <protection hidden="1"/>
    </xf>
    <xf numFmtId="166" fontId="3" fillId="28" borderId="10" xfId="0" applyNumberFormat="1" applyFont="1" applyFill="1" applyBorder="1" applyAlignment="1" applyProtection="1">
      <alignment horizontal="center" vertical="center"/>
      <protection hidden="1"/>
    </xf>
    <xf numFmtId="0" fontId="0" fillId="24" borderId="0" xfId="0" applyFill="1" applyBorder="1" applyAlignment="1" applyProtection="1">
      <protection hidden="1"/>
    </xf>
    <xf numFmtId="0" fontId="0" fillId="24" borderId="0" xfId="0" applyFill="1" applyProtection="1">
      <protection hidden="1"/>
    </xf>
    <xf numFmtId="0" fontId="0" fillId="24" borderId="0" xfId="0" applyFill="1" applyBorder="1" applyAlignment="1" applyProtection="1">
      <alignment horizontal="center" vertical="center"/>
      <protection hidden="1"/>
    </xf>
    <xf numFmtId="0" fontId="3" fillId="24" borderId="0" xfId="0" applyFont="1" applyFill="1" applyBorder="1" applyAlignment="1" applyProtection="1">
      <alignment horizontal="center" vertical="center"/>
      <protection hidden="1"/>
    </xf>
    <xf numFmtId="0" fontId="3" fillId="24" borderId="0" xfId="0" applyFont="1" applyFill="1" applyBorder="1" applyAlignment="1" applyProtection="1">
      <alignment horizontal="center"/>
      <protection hidden="1"/>
    </xf>
    <xf numFmtId="0" fontId="0" fillId="24" borderId="0" xfId="0" applyFill="1" applyBorder="1" applyProtection="1">
      <protection hidden="1"/>
    </xf>
    <xf numFmtId="0" fontId="3" fillId="28" borderId="10" xfId="0" applyFont="1" applyFill="1" applyBorder="1" applyAlignment="1" applyProtection="1">
      <alignment horizontal="center" vertical="center" wrapText="1"/>
      <protection hidden="1"/>
    </xf>
    <xf numFmtId="0" fontId="0" fillId="33" borderId="0" xfId="0" applyFill="1" applyBorder="1" applyProtection="1">
      <protection hidden="1"/>
    </xf>
    <xf numFmtId="0" fontId="3" fillId="0" borderId="10" xfId="0" applyFont="1" applyBorder="1" applyAlignment="1" applyProtection="1">
      <alignment horizontal="center" vertical="top" wrapText="1"/>
      <protection hidden="1"/>
    </xf>
    <xf numFmtId="0" fontId="0" fillId="27" borderId="10" xfId="0" applyFill="1" applyBorder="1" applyAlignment="1" applyProtection="1">
      <protection hidden="1"/>
    </xf>
    <xf numFmtId="0" fontId="0" fillId="0" borderId="10" xfId="0" applyBorder="1" applyAlignment="1" applyProtection="1">
      <alignment horizontal="right"/>
      <protection hidden="1"/>
    </xf>
    <xf numFmtId="0" fontId="0" fillId="24" borderId="10" xfId="0" applyFill="1" applyBorder="1" applyAlignment="1" applyProtection="1">
      <alignment horizontal="right"/>
      <protection locked="0"/>
    </xf>
    <xf numFmtId="0" fontId="11" fillId="0" borderId="10" xfId="0" applyFont="1" applyFill="1" applyBorder="1" applyAlignment="1" applyProtection="1">
      <alignment horizontal="center" vertical="center"/>
      <protection locked="0"/>
    </xf>
    <xf numFmtId="0" fontId="11" fillId="0" borderId="10" xfId="0" applyFont="1" applyFill="1" applyBorder="1" applyAlignment="1" applyProtection="1">
      <alignment horizontal="right" vertical="top" wrapText="1"/>
      <protection locked="0"/>
    </xf>
    <xf numFmtId="0" fontId="0" fillId="24" borderId="0" xfId="0" applyFill="1" applyBorder="1" applyProtection="1">
      <protection locked="0"/>
    </xf>
    <xf numFmtId="0" fontId="11" fillId="0" borderId="10" xfId="0" applyFont="1" applyFill="1" applyBorder="1" applyAlignment="1" applyProtection="1">
      <alignment horizontal="right" vertical="center"/>
      <protection locked="0"/>
    </xf>
    <xf numFmtId="0" fontId="0" fillId="0" borderId="10" xfId="0" applyBorder="1" applyAlignment="1" applyProtection="1">
      <alignment horizontal="right" vertical="top" wrapText="1"/>
      <protection locked="0"/>
    </xf>
    <xf numFmtId="0" fontId="0" fillId="24" borderId="10" xfId="0" applyFill="1" applyBorder="1" applyAlignment="1" applyProtection="1">
      <alignment horizontal="right" vertical="top" wrapText="1"/>
      <protection locked="0"/>
    </xf>
    <xf numFmtId="0" fontId="12" fillId="33" borderId="0" xfId="0" applyFont="1" applyFill="1" applyBorder="1" applyProtection="1">
      <protection hidden="1"/>
    </xf>
    <xf numFmtId="0" fontId="3" fillId="24" borderId="0" xfId="0" applyFont="1" applyFill="1" applyBorder="1" applyAlignment="1" applyProtection="1">
      <alignment vertical="center"/>
      <protection hidden="1"/>
    </xf>
    <xf numFmtId="0" fontId="21" fillId="33" borderId="0" xfId="0" applyFont="1" applyFill="1" applyBorder="1" applyAlignment="1" applyProtection="1">
      <alignment vertical="center"/>
      <protection hidden="1"/>
    </xf>
    <xf numFmtId="0" fontId="21" fillId="33" borderId="0" xfId="0" applyFont="1" applyFill="1" applyBorder="1" applyProtection="1">
      <protection hidden="1"/>
    </xf>
    <xf numFmtId="0" fontId="15" fillId="28" borderId="21" xfId="0" applyFont="1" applyFill="1" applyBorder="1" applyAlignment="1" applyProtection="1">
      <alignment horizontal="center"/>
      <protection hidden="1"/>
    </xf>
    <xf numFmtId="0" fontId="15" fillId="28" borderId="22" xfId="0" applyFont="1" applyFill="1" applyBorder="1" applyAlignment="1" applyProtection="1">
      <alignment horizontal="center"/>
      <protection hidden="1"/>
    </xf>
    <xf numFmtId="0" fontId="15" fillId="28" borderId="10" xfId="0" applyFont="1" applyFill="1" applyBorder="1" applyAlignment="1" applyProtection="1">
      <alignment horizontal="center"/>
      <protection hidden="1"/>
    </xf>
    <xf numFmtId="0" fontId="19" fillId="24" borderId="0" xfId="0" applyFont="1" applyFill="1" applyProtection="1">
      <protection hidden="1"/>
    </xf>
    <xf numFmtId="0" fontId="12" fillId="0" borderId="0" xfId="0" applyFont="1" applyProtection="1">
      <protection hidden="1"/>
    </xf>
    <xf numFmtId="0" fontId="15" fillId="31" borderId="23" xfId="0" applyFont="1" applyFill="1" applyBorder="1" applyAlignment="1" applyProtection="1">
      <alignment horizontal="left" vertical="top" wrapText="1"/>
      <protection hidden="1"/>
    </xf>
    <xf numFmtId="0" fontId="15" fillId="31" borderId="24" xfId="0" applyFont="1" applyFill="1" applyBorder="1" applyAlignment="1" applyProtection="1">
      <alignment horizontal="left" vertical="top"/>
      <protection hidden="1"/>
    </xf>
    <xf numFmtId="0" fontId="15" fillId="30" borderId="12" xfId="0" applyFont="1" applyFill="1" applyBorder="1" applyAlignment="1" applyProtection="1">
      <alignment vertical="top"/>
      <protection hidden="1"/>
    </xf>
    <xf numFmtId="0" fontId="32" fillId="33" borderId="0" xfId="0" applyNumberFormat="1" applyFont="1" applyFill="1" applyBorder="1" applyAlignment="1" applyProtection="1">
      <alignment horizontal="center"/>
      <protection hidden="1"/>
    </xf>
    <xf numFmtId="0" fontId="32" fillId="33" borderId="0" xfId="0" applyFont="1" applyFill="1" applyBorder="1" applyAlignment="1" applyProtection="1">
      <alignment horizontal="center" vertical="top"/>
      <protection hidden="1"/>
    </xf>
    <xf numFmtId="0" fontId="10" fillId="33" borderId="0" xfId="0" applyFont="1" applyFill="1" applyBorder="1" applyProtection="1">
      <protection hidden="1"/>
    </xf>
    <xf numFmtId="0" fontId="10" fillId="24" borderId="0" xfId="0" applyFont="1" applyFill="1" applyProtection="1">
      <protection hidden="1"/>
    </xf>
    <xf numFmtId="0" fontId="1" fillId="24" borderId="0" xfId="0" applyFont="1" applyFill="1" applyProtection="1">
      <protection hidden="1"/>
    </xf>
    <xf numFmtId="0" fontId="0" fillId="33" borderId="0" xfId="0" applyFill="1" applyProtection="1">
      <protection hidden="1"/>
    </xf>
    <xf numFmtId="0" fontId="9" fillId="24" borderId="0" xfId="0" applyFont="1" applyFill="1" applyBorder="1" applyAlignment="1" applyProtection="1">
      <alignment horizontal="center" vertical="top" wrapText="1"/>
      <protection hidden="1"/>
    </xf>
    <xf numFmtId="0" fontId="4" fillId="24" borderId="0" xfId="0" applyFont="1" applyFill="1" applyBorder="1" applyAlignment="1" applyProtection="1">
      <alignment horizontal="center" vertical="top" wrapText="1"/>
      <protection hidden="1"/>
    </xf>
    <xf numFmtId="0" fontId="2" fillId="24" borderId="0" xfId="0" applyFont="1" applyFill="1" applyBorder="1" applyAlignment="1" applyProtection="1">
      <alignment horizontal="center" vertical="center"/>
      <protection hidden="1"/>
    </xf>
    <xf numFmtId="0" fontId="3" fillId="24" borderId="0" xfId="0" applyFont="1" applyFill="1" applyBorder="1" applyAlignment="1" applyProtection="1">
      <alignment vertical="top"/>
      <protection hidden="1"/>
    </xf>
    <xf numFmtId="0" fontId="22" fillId="24" borderId="0" xfId="0" applyFont="1" applyFill="1" applyProtection="1">
      <protection hidden="1"/>
    </xf>
    <xf numFmtId="0" fontId="15" fillId="36" borderId="10" xfId="0" applyFont="1" applyFill="1" applyBorder="1" applyAlignment="1" applyProtection="1">
      <alignment horizontal="center" vertical="top" wrapText="1"/>
      <protection hidden="1"/>
    </xf>
    <xf numFmtId="0" fontId="15" fillId="36" borderId="10" xfId="0" applyFont="1" applyFill="1" applyBorder="1" applyAlignment="1" applyProtection="1">
      <alignment horizontal="center" wrapText="1"/>
      <protection hidden="1"/>
    </xf>
    <xf numFmtId="0" fontId="15" fillId="0" borderId="10" xfId="0" applyFont="1" applyBorder="1" applyProtection="1">
      <protection hidden="1"/>
    </xf>
    <xf numFmtId="0" fontId="15" fillId="0" borderId="10" xfId="0" applyFont="1" applyFill="1" applyBorder="1" applyAlignment="1" applyProtection="1">
      <alignment vertical="center"/>
      <protection hidden="1"/>
    </xf>
    <xf numFmtId="0" fontId="15" fillId="34" borderId="10" xfId="0" applyFont="1" applyFill="1" applyBorder="1" applyAlignment="1" applyProtection="1">
      <alignment horizontal="center" vertical="top" wrapText="1"/>
      <protection hidden="1"/>
    </xf>
    <xf numFmtId="0" fontId="15" fillId="0" borderId="10" xfId="0" applyFont="1" applyBorder="1" applyAlignment="1" applyProtection="1">
      <alignment horizontal="center"/>
      <protection hidden="1"/>
    </xf>
    <xf numFmtId="0" fontId="14" fillId="24" borderId="0" xfId="0" applyFont="1" applyFill="1" applyProtection="1">
      <protection hidden="1"/>
    </xf>
    <xf numFmtId="0" fontId="15" fillId="25" borderId="10" xfId="0" applyFont="1" applyFill="1" applyBorder="1" applyAlignment="1" applyProtection="1">
      <alignment horizontal="center"/>
      <protection locked="0"/>
    </xf>
    <xf numFmtId="0" fontId="12" fillId="0" borderId="0" xfId="0" applyFont="1"/>
    <xf numFmtId="0" fontId="30" fillId="0" borderId="0" xfId="0" applyFont="1" applyFill="1" applyBorder="1" applyAlignment="1" applyProtection="1">
      <protection hidden="1"/>
    </xf>
    <xf numFmtId="0" fontId="30" fillId="0" borderId="0" xfId="0" applyFont="1" applyProtection="1">
      <protection hidden="1"/>
    </xf>
    <xf numFmtId="0" fontId="12" fillId="24" borderId="0" xfId="0" applyFont="1" applyFill="1"/>
    <xf numFmtId="0" fontId="32" fillId="24" borderId="0" xfId="0" applyNumberFormat="1" applyFont="1" applyFill="1" applyAlignment="1" applyProtection="1">
      <alignment horizontal="center"/>
      <protection hidden="1"/>
    </xf>
    <xf numFmtId="0" fontId="32" fillId="24" borderId="0" xfId="0" applyFont="1" applyFill="1" applyBorder="1" applyAlignment="1" applyProtection="1">
      <alignment horizontal="center" vertical="top"/>
      <protection hidden="1"/>
    </xf>
    <xf numFmtId="0" fontId="30" fillId="24" borderId="0" xfId="0" applyFont="1" applyFill="1" applyBorder="1" applyAlignment="1" applyProtection="1">
      <protection hidden="1"/>
    </xf>
    <xf numFmtId="0" fontId="30" fillId="24" borderId="0" xfId="0" applyFont="1" applyFill="1" applyBorder="1" applyAlignment="1" applyProtection="1">
      <alignment horizontal="left"/>
      <protection hidden="1"/>
    </xf>
    <xf numFmtId="0" fontId="56" fillId="24" borderId="0" xfId="0" applyFont="1" applyFill="1" applyBorder="1" applyAlignment="1" applyProtection="1">
      <alignment horizontal="left"/>
      <protection hidden="1"/>
    </xf>
    <xf numFmtId="0" fontId="31" fillId="24" borderId="0" xfId="0" applyFont="1" applyFill="1" applyBorder="1" applyAlignment="1" applyProtection="1">
      <alignment vertical="top"/>
      <protection hidden="1"/>
    </xf>
    <xf numFmtId="0" fontId="1" fillId="24" borderId="0" xfId="0" applyFont="1" applyFill="1" applyBorder="1"/>
    <xf numFmtId="0" fontId="50" fillId="24" borderId="0" xfId="0" applyFont="1" applyFill="1" applyBorder="1" applyAlignment="1">
      <alignment vertical="top"/>
    </xf>
    <xf numFmtId="0" fontId="53" fillId="24" borderId="0" xfId="0" applyFont="1" applyFill="1" applyBorder="1"/>
    <xf numFmtId="0" fontId="6" fillId="24" borderId="0" xfId="0" applyFont="1" applyFill="1" applyBorder="1" applyAlignment="1">
      <alignment vertical="top"/>
    </xf>
    <xf numFmtId="0" fontId="6" fillId="24" borderId="0" xfId="0" applyFont="1" applyFill="1" applyBorder="1" applyAlignment="1">
      <alignment horizontal="center" vertical="top" wrapText="1"/>
    </xf>
    <xf numFmtId="0" fontId="10" fillId="24" borderId="0" xfId="0" applyFont="1" applyFill="1" applyBorder="1"/>
    <xf numFmtId="0" fontId="6" fillId="24" borderId="0" xfId="0" applyFont="1" applyFill="1" applyBorder="1" applyAlignment="1">
      <alignment vertical="top" wrapText="1"/>
    </xf>
    <xf numFmtId="0" fontId="54" fillId="24" borderId="0" xfId="0" applyFont="1" applyFill="1" applyBorder="1" applyAlignment="1">
      <alignment vertical="top" wrapText="1"/>
    </xf>
    <xf numFmtId="0" fontId="55" fillId="24" borderId="0" xfId="0" applyFont="1" applyFill="1" applyBorder="1" applyAlignment="1">
      <alignment vertical="top"/>
    </xf>
    <xf numFmtId="0" fontId="55" fillId="24" borderId="0" xfId="0" applyFont="1" applyFill="1" applyBorder="1"/>
    <xf numFmtId="0" fontId="55" fillId="24" borderId="0" xfId="0" applyFont="1" applyFill="1" applyBorder="1" applyAlignment="1"/>
    <xf numFmtId="0" fontId="2" fillId="24" borderId="0" xfId="0" applyFont="1" applyFill="1" applyBorder="1" applyAlignment="1">
      <alignment vertical="top" wrapText="1"/>
    </xf>
    <xf numFmtId="0" fontId="10" fillId="24" borderId="0" xfId="0" applyFont="1" applyFill="1" applyBorder="1" applyAlignment="1">
      <alignment vertical="top"/>
    </xf>
    <xf numFmtId="0" fontId="2" fillId="24" borderId="0" xfId="0" applyFont="1" applyFill="1" applyBorder="1" applyAlignment="1">
      <alignment horizontal="center" vertical="top"/>
    </xf>
    <xf numFmtId="0" fontId="2" fillId="24" borderId="0" xfId="0" applyFont="1" applyFill="1" applyBorder="1" applyAlignment="1">
      <alignment horizontal="center" vertical="top" wrapText="1"/>
    </xf>
    <xf numFmtId="0" fontId="7" fillId="24" borderId="0" xfId="0" applyFont="1" applyFill="1" applyBorder="1" applyAlignment="1">
      <alignment horizontal="center"/>
    </xf>
    <xf numFmtId="0" fontId="2" fillId="24" borderId="0" xfId="0" applyFont="1" applyFill="1" applyBorder="1" applyAlignment="1">
      <alignment wrapText="1"/>
    </xf>
    <xf numFmtId="0" fontId="50" fillId="24" borderId="0" xfId="0" applyFont="1" applyFill="1" applyBorder="1" applyAlignment="1" applyProtection="1">
      <protection locked="0"/>
    </xf>
    <xf numFmtId="0" fontId="53" fillId="24" borderId="0" xfId="0" applyFont="1" applyFill="1" applyBorder="1" applyAlignment="1"/>
    <xf numFmtId="0" fontId="2" fillId="24" borderId="0" xfId="0" applyFont="1" applyFill="1" applyBorder="1"/>
    <xf numFmtId="0" fontId="50" fillId="24" borderId="0" xfId="0" applyFont="1" applyFill="1" applyBorder="1" applyAlignment="1"/>
    <xf numFmtId="0" fontId="10" fillId="24" borderId="0" xfId="0" applyFont="1" applyFill="1" applyBorder="1" applyAlignment="1">
      <alignment horizontal="center" vertical="center"/>
    </xf>
    <xf numFmtId="0" fontId="50" fillId="24" borderId="0" xfId="0" applyFont="1" applyFill="1" applyBorder="1" applyAlignment="1" applyProtection="1">
      <alignment horizontal="center" vertical="center"/>
      <protection locked="0"/>
    </xf>
    <xf numFmtId="0" fontId="50" fillId="24" borderId="0" xfId="0" applyFont="1" applyFill="1" applyBorder="1" applyAlignment="1">
      <alignment horizontal="center"/>
    </xf>
    <xf numFmtId="0" fontId="6" fillId="24" borderId="0" xfId="0" applyFont="1" applyFill="1" applyBorder="1" applyAlignment="1">
      <alignment horizontal="left" vertical="top"/>
    </xf>
    <xf numFmtId="0" fontId="54" fillId="24" borderId="0" xfId="0" applyFont="1" applyFill="1" applyBorder="1" applyAlignment="1">
      <alignment horizontal="center" vertical="top" wrapText="1"/>
    </xf>
    <xf numFmtId="0" fontId="2" fillId="24" borderId="0" xfId="0" applyFont="1" applyFill="1" applyBorder="1" applyAlignment="1">
      <alignment horizontal="left" vertical="top"/>
    </xf>
    <xf numFmtId="0" fontId="6" fillId="24" borderId="0" xfId="0" applyFont="1" applyFill="1" applyBorder="1" applyAlignment="1">
      <alignment horizontal="center" vertical="top"/>
    </xf>
    <xf numFmtId="0" fontId="50" fillId="24" borderId="0" xfId="0" applyFont="1" applyFill="1" applyBorder="1" applyProtection="1">
      <protection locked="0"/>
    </xf>
    <xf numFmtId="0" fontId="2" fillId="24" borderId="0" xfId="0" applyFont="1" applyFill="1" applyBorder="1" applyAlignment="1">
      <alignment vertical="top"/>
    </xf>
    <xf numFmtId="49" fontId="2" fillId="24" borderId="0" xfId="0" applyNumberFormat="1" applyFont="1" applyFill="1" applyBorder="1" applyAlignment="1">
      <alignment horizontal="center" vertical="top"/>
    </xf>
    <xf numFmtId="0" fontId="6" fillId="24" borderId="0" xfId="0" applyFont="1" applyFill="1" applyBorder="1" applyAlignment="1"/>
    <xf numFmtId="0" fontId="0" fillId="0" borderId="11" xfId="0" applyBorder="1" applyAlignment="1" applyProtection="1">
      <alignment horizontal="right"/>
      <protection hidden="1"/>
    </xf>
    <xf numFmtId="0" fontId="11" fillId="0" borderId="25" xfId="0" applyFont="1" applyFill="1" applyBorder="1" applyAlignment="1" applyProtection="1">
      <alignment horizontal="right" vertical="top" wrapText="1"/>
      <protection locked="0"/>
    </xf>
    <xf numFmtId="0" fontId="0" fillId="41" borderId="0" xfId="0" applyFill="1"/>
    <xf numFmtId="0" fontId="12" fillId="42" borderId="0" xfId="0" applyFont="1" applyFill="1" applyBorder="1" applyProtection="1">
      <protection hidden="1"/>
    </xf>
    <xf numFmtId="0" fontId="14" fillId="42" borderId="0" xfId="0" applyFont="1" applyFill="1" applyBorder="1" applyProtection="1">
      <protection hidden="1"/>
    </xf>
    <xf numFmtId="0" fontId="1" fillId="0" borderId="10" xfId="0" applyFont="1" applyFill="1" applyBorder="1" applyAlignment="1" applyProtection="1">
      <alignment horizontal="center" vertical="top" wrapText="1"/>
      <protection hidden="1"/>
    </xf>
    <xf numFmtId="0" fontId="15" fillId="31" borderId="12" xfId="0" applyFont="1" applyFill="1" applyBorder="1" applyAlignment="1" applyProtection="1">
      <alignment horizontal="left" vertical="top" wrapText="1"/>
      <protection hidden="1"/>
    </xf>
    <xf numFmtId="0" fontId="57" fillId="24" borderId="0" xfId="0" applyFont="1" applyFill="1" applyProtection="1">
      <protection hidden="1"/>
    </xf>
    <xf numFmtId="0" fontId="57" fillId="24" borderId="0" xfId="0" applyFont="1" applyFill="1" applyBorder="1" applyAlignment="1" applyProtection="1">
      <protection hidden="1"/>
    </xf>
    <xf numFmtId="0" fontId="0" fillId="24" borderId="26" xfId="0" applyFill="1" applyBorder="1" applyProtection="1">
      <protection hidden="1"/>
    </xf>
    <xf numFmtId="0" fontId="0" fillId="0" borderId="0" xfId="0" applyProtection="1">
      <protection hidden="1"/>
    </xf>
    <xf numFmtId="0" fontId="4" fillId="24" borderId="0" xfId="0" applyFont="1" applyFill="1" applyBorder="1" applyAlignment="1" applyProtection="1">
      <alignment horizontal="center"/>
      <protection hidden="1"/>
    </xf>
    <xf numFmtId="0" fontId="9" fillId="24" borderId="0" xfId="0" applyFont="1" applyFill="1" applyBorder="1" applyAlignment="1" applyProtection="1">
      <alignment vertical="top" wrapText="1"/>
      <protection hidden="1"/>
    </xf>
    <xf numFmtId="0" fontId="11" fillId="24" borderId="0" xfId="0" applyFont="1" applyFill="1" applyBorder="1" applyProtection="1">
      <protection hidden="1"/>
    </xf>
    <xf numFmtId="0" fontId="3" fillId="24" borderId="0" xfId="0" applyFont="1" applyFill="1" applyBorder="1" applyProtection="1">
      <protection hidden="1"/>
    </xf>
    <xf numFmtId="0" fontId="1" fillId="33" borderId="27" xfId="0" applyFont="1" applyFill="1" applyBorder="1" applyAlignment="1" applyProtection="1">
      <protection hidden="1"/>
    </xf>
    <xf numFmtId="0" fontId="0" fillId="42" borderId="27" xfId="0" applyFill="1" applyBorder="1" applyAlignment="1" applyProtection="1">
      <protection hidden="1"/>
    </xf>
    <xf numFmtId="0" fontId="0" fillId="33" borderId="27" xfId="0" applyFill="1" applyBorder="1" applyAlignment="1" applyProtection="1">
      <protection hidden="1"/>
    </xf>
    <xf numFmtId="0" fontId="1" fillId="33" borderId="10" xfId="0" applyFont="1" applyFill="1" applyBorder="1" applyAlignment="1" applyProtection="1">
      <alignment horizontal="center"/>
      <protection hidden="1"/>
    </xf>
    <xf numFmtId="0" fontId="58" fillId="24" borderId="0" xfId="0" applyFont="1" applyFill="1" applyProtection="1">
      <protection hidden="1"/>
    </xf>
    <xf numFmtId="0" fontId="0" fillId="0" borderId="12" xfId="0" applyBorder="1" applyAlignment="1" applyProtection="1">
      <alignment horizontal="center" vertical="top" wrapText="1"/>
      <protection hidden="1"/>
    </xf>
    <xf numFmtId="0" fontId="0" fillId="42" borderId="0" xfId="0" applyFill="1" applyBorder="1" applyProtection="1">
      <protection hidden="1"/>
    </xf>
    <xf numFmtId="0" fontId="3" fillId="42" borderId="10" xfId="0" applyFont="1" applyFill="1" applyBorder="1" applyAlignment="1" applyProtection="1">
      <alignment horizontal="center" vertical="center"/>
      <protection hidden="1"/>
    </xf>
    <xf numFmtId="0" fontId="3" fillId="42" borderId="10" xfId="0" applyFont="1" applyFill="1" applyBorder="1" applyAlignment="1" applyProtection="1">
      <alignment horizontal="center" vertical="center" wrapText="1"/>
      <protection hidden="1"/>
    </xf>
    <xf numFmtId="0" fontId="3" fillId="28" borderId="25" xfId="0" applyFont="1" applyFill="1" applyBorder="1" applyAlignment="1" applyProtection="1">
      <alignment horizontal="center" vertical="center" wrapText="1"/>
      <protection hidden="1"/>
    </xf>
    <xf numFmtId="0" fontId="0" fillId="42" borderId="27" xfId="0" applyFill="1" applyBorder="1" applyProtection="1">
      <protection hidden="1"/>
    </xf>
    <xf numFmtId="0" fontId="58" fillId="42" borderId="0" xfId="0" applyFont="1" applyFill="1" applyBorder="1" applyProtection="1">
      <protection hidden="1"/>
    </xf>
    <xf numFmtId="0" fontId="50" fillId="27" borderId="10" xfId="0" applyFont="1" applyFill="1" applyBorder="1" applyAlignment="1" applyProtection="1">
      <alignment horizontal="center"/>
      <protection hidden="1"/>
    </xf>
    <xf numFmtId="0" fontId="13" fillId="28" borderId="10" xfId="0" applyFont="1" applyFill="1" applyBorder="1" applyAlignment="1" applyProtection="1">
      <alignment vertical="center"/>
      <protection hidden="1"/>
    </xf>
    <xf numFmtId="0" fontId="13" fillId="28" borderId="10" xfId="0" applyFont="1" applyFill="1" applyBorder="1" applyAlignment="1" applyProtection="1">
      <alignment horizontal="center"/>
      <protection hidden="1"/>
    </xf>
    <xf numFmtId="0" fontId="57" fillId="42" borderId="0" xfId="0" applyFont="1" applyFill="1" applyBorder="1" applyAlignment="1" applyProtection="1">
      <protection hidden="1"/>
    </xf>
    <xf numFmtId="0" fontId="57" fillId="42" borderId="0" xfId="0" applyFont="1" applyFill="1" applyProtection="1">
      <protection hidden="1"/>
    </xf>
    <xf numFmtId="0" fontId="57" fillId="42" borderId="0" xfId="0" applyFont="1" applyFill="1" applyAlignment="1" applyProtection="1">
      <protection hidden="1"/>
    </xf>
    <xf numFmtId="0" fontId="57" fillId="42" borderId="0" xfId="0" applyFont="1" applyFill="1" applyBorder="1" applyProtection="1">
      <protection hidden="1"/>
    </xf>
    <xf numFmtId="0" fontId="13" fillId="34" borderId="10" xfId="0" applyFont="1" applyFill="1" applyBorder="1" applyAlignment="1" applyProtection="1">
      <alignment horizontal="center" vertical="center"/>
      <protection hidden="1"/>
    </xf>
    <xf numFmtId="0" fontId="15" fillId="43" borderId="10" xfId="0" applyFont="1" applyFill="1" applyBorder="1" applyAlignment="1" applyProtection="1">
      <alignment horizontal="center" vertical="top"/>
      <protection hidden="1"/>
    </xf>
    <xf numFmtId="0" fontId="15" fillId="25" borderId="13" xfId="0" applyNumberFormat="1" applyFont="1" applyFill="1" applyBorder="1" applyAlignment="1" applyProtection="1">
      <alignment horizontal="center" vertical="center"/>
      <protection locked="0" hidden="1"/>
    </xf>
    <xf numFmtId="0" fontId="15" fillId="27" borderId="13" xfId="0" applyFont="1" applyFill="1" applyBorder="1" applyAlignment="1" applyProtection="1">
      <alignment horizontal="center" vertical="center"/>
      <protection hidden="1"/>
    </xf>
    <xf numFmtId="0" fontId="15" fillId="28" borderId="14" xfId="0" applyFont="1" applyFill="1" applyBorder="1" applyAlignment="1" applyProtection="1">
      <alignment horizontal="center"/>
      <protection hidden="1"/>
    </xf>
    <xf numFmtId="0" fontId="15" fillId="28" borderId="13" xfId="0" applyFont="1" applyFill="1" applyBorder="1" applyAlignment="1" applyProtection="1">
      <alignment horizontal="center"/>
      <protection hidden="1"/>
    </xf>
    <xf numFmtId="0" fontId="16" fillId="24" borderId="15" xfId="0" applyFont="1" applyFill="1" applyBorder="1" applyAlignment="1" applyProtection="1">
      <protection hidden="1"/>
    </xf>
    <xf numFmtId="0" fontId="16" fillId="33" borderId="26" xfId="0" applyFont="1" applyFill="1" applyBorder="1" applyProtection="1">
      <protection hidden="1"/>
    </xf>
    <xf numFmtId="0" fontId="15" fillId="32" borderId="10" xfId="0" applyFont="1" applyFill="1" applyBorder="1" applyAlignment="1" applyProtection="1">
      <alignment horizontal="center" vertical="center"/>
      <protection hidden="1"/>
    </xf>
    <xf numFmtId="0" fontId="15" fillId="32" borderId="12" xfId="0" applyFont="1" applyFill="1" applyBorder="1" applyAlignment="1" applyProtection="1">
      <alignment horizontal="center" vertical="center"/>
      <protection hidden="1"/>
    </xf>
    <xf numFmtId="0" fontId="62" fillId="24" borderId="0" xfId="0" applyFont="1" applyFill="1" applyBorder="1" applyAlignment="1" applyProtection="1">
      <alignment horizontal="center"/>
      <protection hidden="1"/>
    </xf>
    <xf numFmtId="0" fontId="62" fillId="24" borderId="0" xfId="0" applyNumberFormat="1" applyFont="1" applyFill="1" applyBorder="1" applyAlignment="1" applyProtection="1">
      <alignment horizontal="center" vertical="center"/>
      <protection hidden="1"/>
    </xf>
    <xf numFmtId="0" fontId="62" fillId="24" borderId="0" xfId="0" applyFont="1" applyFill="1" applyBorder="1" applyAlignment="1" applyProtection="1">
      <alignment horizontal="center" vertical="center"/>
      <protection hidden="1"/>
    </xf>
    <xf numFmtId="9" fontId="62" fillId="24" borderId="0" xfId="0" applyNumberFormat="1" applyFont="1" applyFill="1" applyBorder="1" applyAlignment="1" applyProtection="1">
      <alignment horizontal="center" vertical="center"/>
      <protection hidden="1"/>
    </xf>
    <xf numFmtId="0" fontId="57" fillId="24" borderId="0" xfId="0" applyFont="1" applyFill="1" applyBorder="1" applyAlignment="1" applyProtection="1">
      <alignment horizontal="center"/>
      <protection hidden="1"/>
    </xf>
    <xf numFmtId="0" fontId="2" fillId="27" borderId="13" xfId="0" applyNumberFormat="1" applyFont="1" applyFill="1" applyBorder="1" applyAlignment="1" applyProtection="1">
      <alignment horizontal="center" vertical="center"/>
      <protection hidden="1"/>
    </xf>
    <xf numFmtId="0" fontId="5" fillId="31" borderId="15" xfId="0" applyFont="1" applyFill="1" applyBorder="1" applyAlignment="1" applyProtection="1">
      <protection hidden="1"/>
    </xf>
    <xf numFmtId="0" fontId="5" fillId="31" borderId="18" xfId="0" applyFont="1" applyFill="1" applyBorder="1" applyAlignment="1" applyProtection="1">
      <protection hidden="1"/>
    </xf>
    <xf numFmtId="0" fontId="3" fillId="47" borderId="12" xfId="0" applyFont="1" applyFill="1" applyBorder="1" applyAlignment="1" applyProtection="1">
      <alignment horizontal="center" vertical="center" wrapText="1"/>
      <protection hidden="1"/>
    </xf>
    <xf numFmtId="0" fontId="57" fillId="24" borderId="0" xfId="0" applyFont="1" applyFill="1" applyBorder="1" applyProtection="1">
      <protection hidden="1"/>
    </xf>
    <xf numFmtId="0" fontId="23" fillId="24" borderId="0" xfId="0" applyFont="1" applyFill="1" applyBorder="1" applyAlignment="1" applyProtection="1">
      <alignment horizontal="center" vertical="center"/>
      <protection hidden="1"/>
    </xf>
    <xf numFmtId="0" fontId="1" fillId="24" borderId="15" xfId="0" applyFont="1" applyFill="1" applyBorder="1" applyProtection="1">
      <protection hidden="1"/>
    </xf>
    <xf numFmtId="0" fontId="1" fillId="24" borderId="0" xfId="0" applyFont="1" applyFill="1" applyBorder="1" applyProtection="1">
      <protection hidden="1"/>
    </xf>
    <xf numFmtId="0" fontId="1" fillId="24" borderId="15" xfId="0" applyFont="1" applyFill="1" applyBorder="1" applyAlignment="1" applyProtection="1">
      <protection hidden="1"/>
    </xf>
    <xf numFmtId="0" fontId="61" fillId="24" borderId="0" xfId="0" applyFont="1" applyFill="1" applyBorder="1" applyAlignment="1" applyProtection="1">
      <alignment horizontal="left" vertical="top"/>
      <protection hidden="1"/>
    </xf>
    <xf numFmtId="0" fontId="60" fillId="24" borderId="0" xfId="0" applyFont="1" applyFill="1" applyBorder="1" applyAlignment="1" applyProtection="1">
      <alignment horizontal="center" vertical="center"/>
      <protection hidden="1"/>
    </xf>
    <xf numFmtId="0" fontId="57" fillId="0" borderId="0" xfId="0" applyFont="1" applyBorder="1" applyProtection="1">
      <protection hidden="1"/>
    </xf>
    <xf numFmtId="0" fontId="61" fillId="24" borderId="0" xfId="0" applyFont="1" applyFill="1" applyBorder="1" applyAlignment="1" applyProtection="1">
      <alignment horizontal="center" vertical="top"/>
      <protection hidden="1"/>
    </xf>
    <xf numFmtId="0" fontId="61" fillId="24" borderId="0" xfId="0" applyFont="1" applyFill="1" applyBorder="1" applyAlignment="1" applyProtection="1">
      <protection hidden="1"/>
    </xf>
    <xf numFmtId="9" fontId="61" fillId="24" borderId="0" xfId="0" applyNumberFormat="1" applyFont="1" applyFill="1" applyBorder="1" applyAlignment="1" applyProtection="1">
      <alignment horizontal="center"/>
      <protection hidden="1"/>
    </xf>
    <xf numFmtId="0" fontId="1" fillId="0" borderId="17" xfId="0" applyFont="1" applyBorder="1" applyAlignment="1" applyProtection="1">
      <protection hidden="1"/>
    </xf>
    <xf numFmtId="0" fontId="1" fillId="0" borderId="16" xfId="0" applyFont="1" applyFill="1" applyBorder="1" applyAlignment="1" applyProtection="1">
      <protection hidden="1"/>
    </xf>
    <xf numFmtId="0" fontId="3" fillId="27" borderId="16" xfId="0" applyFont="1" applyFill="1" applyBorder="1" applyAlignment="1" applyProtection="1">
      <alignment horizontal="left"/>
      <protection hidden="1"/>
    </xf>
    <xf numFmtId="0" fontId="3" fillId="27" borderId="16" xfId="0" applyFont="1" applyFill="1" applyBorder="1" applyAlignment="1" applyProtection="1">
      <alignment horizontal="left" vertical="top"/>
      <protection hidden="1"/>
    </xf>
    <xf numFmtId="0" fontId="3" fillId="31" borderId="16" xfId="0" applyFont="1" applyFill="1" applyBorder="1" applyAlignment="1" applyProtection="1">
      <protection hidden="1"/>
    </xf>
    <xf numFmtId="0" fontId="1" fillId="0" borderId="17" xfId="0" applyFont="1" applyFill="1" applyBorder="1" applyAlignment="1" applyProtection="1">
      <alignment vertical="center" wrapText="1"/>
      <protection hidden="1"/>
    </xf>
    <xf numFmtId="0" fontId="67" fillId="27" borderId="13" xfId="0" applyNumberFormat="1" applyFont="1" applyFill="1" applyBorder="1" applyAlignment="1" applyProtection="1">
      <alignment horizontal="center" vertical="center"/>
      <protection hidden="1"/>
    </xf>
    <xf numFmtId="0" fontId="23" fillId="24" borderId="0" xfId="0" applyFont="1" applyFill="1" applyBorder="1" applyAlignment="1" applyProtection="1">
      <alignment horizontal="center" vertical="center"/>
      <protection hidden="1"/>
    </xf>
    <xf numFmtId="0" fontId="3" fillId="35" borderId="39" xfId="0" applyFont="1" applyFill="1" applyBorder="1" applyAlignment="1" applyProtection="1">
      <alignment horizontal="center" vertical="top" wrapText="1"/>
      <protection hidden="1"/>
    </xf>
    <xf numFmtId="0" fontId="3" fillId="35" borderId="25" xfId="0" applyFont="1" applyFill="1" applyBorder="1" applyAlignment="1" applyProtection="1">
      <alignment horizontal="center" vertical="top" wrapText="1"/>
      <protection hidden="1"/>
    </xf>
    <xf numFmtId="0" fontId="3" fillId="0" borderId="17" xfId="0" applyFont="1" applyFill="1" applyBorder="1" applyAlignment="1" applyProtection="1">
      <alignment vertical="center" wrapText="1"/>
      <protection hidden="1"/>
    </xf>
    <xf numFmtId="0" fontId="5" fillId="24" borderId="0" xfId="0" applyFont="1" applyFill="1" applyBorder="1" applyAlignment="1" applyProtection="1">
      <alignment horizontal="center" vertical="top" wrapText="1"/>
      <protection hidden="1"/>
    </xf>
    <xf numFmtId="0" fontId="22" fillId="24" borderId="0" xfId="0" applyFont="1" applyFill="1" applyBorder="1" applyAlignment="1" applyProtection="1">
      <protection hidden="1"/>
    </xf>
    <xf numFmtId="0" fontId="10" fillId="24" borderId="0" xfId="0" applyFont="1" applyFill="1" applyBorder="1" applyAlignment="1" applyProtection="1">
      <protection hidden="1"/>
    </xf>
    <xf numFmtId="0" fontId="15" fillId="42" borderId="0" xfId="0" applyFont="1" applyFill="1" applyBorder="1" applyAlignment="1" applyProtection="1">
      <alignment vertical="top" wrapText="1"/>
      <protection hidden="1"/>
    </xf>
    <xf numFmtId="0" fontId="0" fillId="0" borderId="0" xfId="0" applyAlignment="1" applyProtection="1">
      <alignment wrapText="1"/>
      <protection hidden="1"/>
    </xf>
    <xf numFmtId="0" fontId="0" fillId="0" borderId="0" xfId="0" applyAlignment="1" applyProtection="1">
      <alignment horizontal="left"/>
      <protection hidden="1"/>
    </xf>
    <xf numFmtId="0" fontId="0" fillId="0" borderId="0" xfId="0" applyAlignment="1" applyProtection="1">
      <alignment horizontal="center" vertical="top" wrapText="1"/>
      <protection hidden="1"/>
    </xf>
    <xf numFmtId="0" fontId="15" fillId="45" borderId="10" xfId="0" applyFont="1" applyFill="1" applyBorder="1" applyAlignment="1" applyProtection="1">
      <alignment horizontal="center" vertical="top"/>
      <protection locked="0"/>
    </xf>
    <xf numFmtId="0" fontId="3" fillId="48" borderId="53" xfId="0" applyFont="1" applyFill="1" applyBorder="1" applyAlignment="1" applyProtection="1">
      <alignment horizontal="center" vertical="center" wrapText="1"/>
    </xf>
    <xf numFmtId="0" fontId="1" fillId="42" borderId="0" xfId="0" applyFont="1" applyFill="1" applyBorder="1" applyProtection="1">
      <protection hidden="1"/>
    </xf>
    <xf numFmtId="0" fontId="1" fillId="42" borderId="0" xfId="0" applyFont="1" applyFill="1" applyProtection="1">
      <protection hidden="1"/>
    </xf>
    <xf numFmtId="0" fontId="1" fillId="33" borderId="0" xfId="0" applyFont="1" applyFill="1" applyBorder="1" applyProtection="1">
      <protection hidden="1"/>
    </xf>
    <xf numFmtId="0" fontId="1" fillId="42" borderId="20" xfId="0" applyFont="1" applyFill="1" applyBorder="1" applyAlignment="1" applyProtection="1">
      <protection hidden="1"/>
    </xf>
    <xf numFmtId="0" fontId="1" fillId="33" borderId="0" xfId="0" applyFont="1" applyFill="1" applyProtection="1">
      <protection hidden="1"/>
    </xf>
    <xf numFmtId="0" fontId="58" fillId="33" borderId="0" xfId="0" applyFont="1" applyFill="1" applyProtection="1">
      <protection hidden="1"/>
    </xf>
    <xf numFmtId="0" fontId="0" fillId="42" borderId="0" xfId="0" applyFill="1" applyProtection="1">
      <protection hidden="1"/>
    </xf>
    <xf numFmtId="0" fontId="1" fillId="33" borderId="19" xfId="0" applyFont="1" applyFill="1" applyBorder="1" applyAlignment="1" applyProtection="1">
      <alignment horizontal="center"/>
      <protection hidden="1"/>
    </xf>
    <xf numFmtId="0" fontId="3" fillId="47" borderId="10" xfId="0" applyFont="1" applyFill="1" applyBorder="1" applyProtection="1">
      <protection hidden="1"/>
    </xf>
    <xf numFmtId="0" fontId="57" fillId="42" borderId="0" xfId="0" applyFont="1" applyFill="1" applyAlignment="1" applyProtection="1">
      <alignment horizontal="center" vertical="center"/>
      <protection hidden="1"/>
    </xf>
    <xf numFmtId="0" fontId="0" fillId="24" borderId="0" xfId="0" applyFill="1" applyAlignment="1" applyProtection="1">
      <alignment horizontal="center" vertical="center"/>
      <protection hidden="1"/>
    </xf>
    <xf numFmtId="0" fontId="0" fillId="0" borderId="0" xfId="0" applyAlignment="1" applyProtection="1">
      <alignment horizontal="center" vertical="center"/>
      <protection hidden="1"/>
    </xf>
    <xf numFmtId="0" fontId="57" fillId="42" borderId="0" xfId="0" applyFont="1" applyFill="1" applyBorder="1" applyAlignment="1" applyProtection="1">
      <alignment horizontal="center" vertical="center"/>
      <protection hidden="1"/>
    </xf>
    <xf numFmtId="0" fontId="60" fillId="42" borderId="0" xfId="0" applyFont="1" applyFill="1" applyBorder="1" applyProtection="1">
      <protection hidden="1"/>
    </xf>
    <xf numFmtId="0" fontId="15" fillId="31" borderId="10" xfId="0" applyFont="1" applyFill="1" applyBorder="1" applyAlignment="1" applyProtection="1">
      <alignment horizontal="center" vertical="top" wrapText="1"/>
      <protection hidden="1"/>
    </xf>
    <xf numFmtId="0" fontId="15" fillId="31" borderId="11" xfId="0" applyFont="1" applyFill="1" applyBorder="1" applyAlignment="1" applyProtection="1">
      <alignment horizontal="center" vertical="top" wrapText="1"/>
      <protection hidden="1"/>
    </xf>
    <xf numFmtId="0" fontId="0" fillId="42" borderId="0" xfId="0" applyFill="1"/>
    <xf numFmtId="165" fontId="58" fillId="24" borderId="0" xfId="0" applyNumberFormat="1" applyFont="1" applyFill="1" applyProtection="1">
      <protection hidden="1"/>
    </xf>
    <xf numFmtId="0" fontId="70" fillId="42" borderId="0" xfId="0" applyFont="1" applyFill="1"/>
    <xf numFmtId="0" fontId="70" fillId="0" borderId="0" xfId="0" applyFont="1"/>
    <xf numFmtId="0" fontId="77" fillId="42" borderId="20" xfId="0" applyFont="1" applyFill="1" applyBorder="1" applyAlignment="1" applyProtection="1">
      <alignment horizontal="center" vertical="center"/>
      <protection hidden="1"/>
    </xf>
    <xf numFmtId="0" fontId="69" fillId="42" borderId="0" xfId="0" applyFont="1" applyFill="1" applyBorder="1" applyAlignment="1" applyProtection="1">
      <alignment horizontal="center" vertical="center"/>
      <protection hidden="1"/>
    </xf>
    <xf numFmtId="0" fontId="69" fillId="42" borderId="30" xfId="0" applyFont="1" applyFill="1" applyBorder="1" applyAlignment="1" applyProtection="1">
      <alignment horizontal="center" vertical="center"/>
      <protection hidden="1"/>
    </xf>
    <xf numFmtId="0" fontId="71" fillId="42" borderId="20" xfId="0" applyFont="1" applyFill="1" applyBorder="1" applyProtection="1">
      <protection hidden="1"/>
    </xf>
    <xf numFmtId="0" fontId="0" fillId="42" borderId="30" xfId="0" applyFill="1" applyBorder="1" applyProtection="1">
      <protection hidden="1"/>
    </xf>
    <xf numFmtId="0" fontId="70" fillId="42" borderId="20" xfId="0" applyFont="1" applyFill="1" applyBorder="1" applyProtection="1">
      <protection hidden="1"/>
    </xf>
    <xf numFmtId="0" fontId="70" fillId="42" borderId="0" xfId="0" applyFont="1" applyFill="1" applyProtection="1">
      <protection hidden="1"/>
    </xf>
    <xf numFmtId="0" fontId="70" fillId="42" borderId="20" xfId="0" applyFont="1" applyFill="1" applyBorder="1" applyAlignment="1" applyProtection="1">
      <alignment vertical="top" wrapText="1"/>
      <protection hidden="1"/>
    </xf>
    <xf numFmtId="0" fontId="0" fillId="42" borderId="0" xfId="0" applyFill="1" applyBorder="1" applyAlignment="1" applyProtection="1">
      <alignment vertical="top" wrapText="1"/>
      <protection hidden="1"/>
    </xf>
    <xf numFmtId="0" fontId="0" fillId="42" borderId="30" xfId="0" applyFill="1" applyBorder="1" applyAlignment="1" applyProtection="1">
      <alignment vertical="top" wrapText="1"/>
      <protection hidden="1"/>
    </xf>
    <xf numFmtId="0" fontId="70" fillId="42" borderId="0" xfId="0" applyFont="1" applyFill="1" applyAlignment="1" applyProtection="1">
      <alignment vertical="top" wrapText="1"/>
      <protection hidden="1"/>
    </xf>
    <xf numFmtId="0" fontId="0" fillId="42" borderId="0" xfId="0" applyFill="1" applyAlignment="1" applyProtection="1">
      <alignment vertical="top" wrapText="1"/>
      <protection hidden="1"/>
    </xf>
    <xf numFmtId="0" fontId="72" fillId="42" borderId="20" xfId="0" applyFont="1" applyFill="1" applyBorder="1" applyProtection="1">
      <protection hidden="1"/>
    </xf>
    <xf numFmtId="0" fontId="75" fillId="42" borderId="20" xfId="0" applyFont="1" applyFill="1" applyBorder="1" applyProtection="1">
      <protection hidden="1"/>
    </xf>
    <xf numFmtId="0" fontId="0" fillId="42" borderId="20" xfId="0" applyFill="1" applyBorder="1" applyProtection="1">
      <protection hidden="1"/>
    </xf>
    <xf numFmtId="0" fontId="13" fillId="42" borderId="20" xfId="0" applyFont="1" applyFill="1" applyBorder="1" applyProtection="1">
      <protection hidden="1"/>
    </xf>
    <xf numFmtId="0" fontId="72" fillId="0" borderId="0" xfId="0" applyFont="1"/>
    <xf numFmtId="0" fontId="74" fillId="42" borderId="59" xfId="0" applyFont="1" applyFill="1" applyBorder="1" applyAlignment="1" applyProtection="1">
      <alignment horizontal="center" vertical="center" wrapText="1"/>
      <protection hidden="1"/>
    </xf>
    <xf numFmtId="0" fontId="74" fillId="42" borderId="58" xfId="0" applyFont="1" applyFill="1" applyBorder="1" applyAlignment="1" applyProtection="1">
      <alignment horizontal="center" vertical="center" wrapText="1"/>
      <protection hidden="1"/>
    </xf>
    <xf numFmtId="49" fontId="74" fillId="42" borderId="63" xfId="0" applyNumberFormat="1" applyFont="1" applyFill="1" applyBorder="1" applyAlignment="1" applyProtection="1">
      <alignment horizontal="center" vertical="center" wrapText="1"/>
      <protection hidden="1"/>
    </xf>
    <xf numFmtId="49" fontId="74" fillId="42" borderId="58" xfId="0" applyNumberFormat="1" applyFont="1" applyFill="1" applyBorder="1" applyAlignment="1" applyProtection="1">
      <alignment horizontal="center" vertical="center" wrapText="1"/>
      <protection hidden="1"/>
    </xf>
    <xf numFmtId="0" fontId="27" fillId="24" borderId="0" xfId="0" applyNumberFormat="1" applyFont="1" applyFill="1" applyBorder="1" applyAlignment="1" applyProtection="1">
      <alignment horizontal="center" vertical="center"/>
    </xf>
    <xf numFmtId="0" fontId="30" fillId="24" borderId="0" xfId="0" applyFont="1" applyFill="1" applyBorder="1" applyAlignment="1" applyProtection="1">
      <alignment horizontal="center" vertical="center"/>
    </xf>
    <xf numFmtId="0" fontId="28" fillId="24" borderId="0" xfId="0" applyFont="1" applyFill="1" applyBorder="1" applyProtection="1"/>
    <xf numFmtId="0" fontId="24" fillId="24" borderId="0" xfId="0" applyFont="1" applyFill="1" applyBorder="1" applyAlignment="1" applyProtection="1">
      <alignment horizontal="center" vertical="center"/>
    </xf>
    <xf numFmtId="9" fontId="30" fillId="24" borderId="0" xfId="0" applyNumberFormat="1" applyFont="1" applyFill="1" applyBorder="1" applyAlignment="1" applyProtection="1">
      <alignment horizontal="center" vertical="center"/>
    </xf>
    <xf numFmtId="0" fontId="31" fillId="24" borderId="0" xfId="0" applyFont="1" applyFill="1" applyBorder="1" applyAlignment="1" applyProtection="1">
      <alignment horizontal="center" vertical="center"/>
    </xf>
    <xf numFmtId="0" fontId="12" fillId="24" borderId="0" xfId="0" applyFont="1" applyFill="1" applyBorder="1" applyProtection="1"/>
    <xf numFmtId="0" fontId="59" fillId="42" borderId="0" xfId="0" applyFont="1" applyFill="1" applyBorder="1" applyAlignment="1" applyProtection="1">
      <alignment wrapText="1"/>
      <protection hidden="1"/>
    </xf>
    <xf numFmtId="165" fontId="60" fillId="42" borderId="0" xfId="0" applyNumberFormat="1" applyFont="1" applyFill="1" applyBorder="1" applyAlignment="1" applyProtection="1">
      <alignment vertical="center"/>
      <protection hidden="1"/>
    </xf>
    <xf numFmtId="165" fontId="59" fillId="42" borderId="0" xfId="0" applyNumberFormat="1" applyFont="1" applyFill="1" applyBorder="1" applyAlignment="1" applyProtection="1">
      <alignment vertical="center"/>
      <protection hidden="1"/>
    </xf>
    <xf numFmtId="0" fontId="58" fillId="24" borderId="0" xfId="0" applyFont="1" applyFill="1" applyBorder="1" applyProtection="1">
      <protection hidden="1"/>
    </xf>
    <xf numFmtId="0" fontId="57" fillId="24" borderId="0" xfId="0" applyFont="1" applyFill="1" applyBorder="1" applyAlignment="1" applyProtection="1">
      <alignment horizontal="center" vertical="center"/>
      <protection hidden="1"/>
    </xf>
    <xf numFmtId="0" fontId="68" fillId="42" borderId="0" xfId="0" applyFont="1" applyFill="1" applyBorder="1" applyAlignment="1" applyProtection="1">
      <alignment horizontal="center"/>
      <protection hidden="1"/>
    </xf>
    <xf numFmtId="0" fontId="3" fillId="28" borderId="12" xfId="0" applyFont="1" applyFill="1" applyBorder="1" applyAlignment="1" applyProtection="1">
      <alignment horizontal="center" vertical="center" wrapText="1"/>
      <protection hidden="1"/>
    </xf>
    <xf numFmtId="0" fontId="0" fillId="24" borderId="20" xfId="0" applyFill="1" applyBorder="1" applyProtection="1">
      <protection hidden="1"/>
    </xf>
    <xf numFmtId="0" fontId="4" fillId="24" borderId="20" xfId="0" applyFont="1" applyFill="1" applyBorder="1" applyAlignment="1" applyProtection="1">
      <alignment horizontal="center"/>
      <protection hidden="1"/>
    </xf>
    <xf numFmtId="0" fontId="57" fillId="42" borderId="0" xfId="0" applyFont="1" applyFill="1" applyBorder="1" applyAlignment="1" applyProtection="1">
      <alignment horizontal="left"/>
      <protection hidden="1"/>
    </xf>
    <xf numFmtId="0" fontId="58" fillId="42" borderId="0" xfId="0" applyFont="1" applyFill="1" applyProtection="1">
      <protection hidden="1"/>
    </xf>
    <xf numFmtId="0" fontId="57" fillId="0" borderId="0" xfId="0" applyFont="1" applyFill="1" applyBorder="1" applyProtection="1">
      <protection hidden="1"/>
    </xf>
    <xf numFmtId="0" fontId="60" fillId="0" borderId="0" xfId="0" applyFont="1" applyFill="1" applyBorder="1" applyProtection="1">
      <protection hidden="1"/>
    </xf>
    <xf numFmtId="0" fontId="58" fillId="0" borderId="0" xfId="0" applyFont="1" applyProtection="1">
      <protection hidden="1"/>
    </xf>
    <xf numFmtId="0" fontId="79" fillId="24" borderId="0" xfId="0" applyFont="1" applyFill="1" applyBorder="1" applyAlignment="1" applyProtection="1">
      <alignment horizontal="center" wrapText="1"/>
      <protection hidden="1"/>
    </xf>
    <xf numFmtId="0" fontId="58" fillId="24" borderId="0" xfId="0" applyFont="1" applyFill="1" applyBorder="1" applyAlignment="1" applyProtection="1">
      <protection hidden="1"/>
    </xf>
    <xf numFmtId="9" fontId="79" fillId="24" borderId="0" xfId="0" applyNumberFormat="1" applyFont="1" applyFill="1" applyBorder="1" applyAlignment="1" applyProtection="1">
      <alignment horizontal="center"/>
      <protection hidden="1"/>
    </xf>
    <xf numFmtId="0" fontId="80" fillId="24" borderId="0" xfId="0" applyFont="1" applyFill="1" applyBorder="1" applyAlignment="1" applyProtection="1">
      <protection hidden="1"/>
    </xf>
    <xf numFmtId="9" fontId="80" fillId="24" borderId="0" xfId="0" applyNumberFormat="1" applyFont="1" applyFill="1" applyBorder="1" applyAlignment="1" applyProtection="1">
      <alignment horizontal="center" vertical="center"/>
      <protection hidden="1"/>
    </xf>
    <xf numFmtId="0" fontId="80" fillId="24" borderId="0" xfId="0" applyFont="1" applyFill="1" applyBorder="1" applyAlignment="1" applyProtection="1">
      <alignment horizontal="center" vertical="center"/>
      <protection hidden="1"/>
    </xf>
    <xf numFmtId="0" fontId="58" fillId="24" borderId="0" xfId="0" applyFont="1" applyFill="1" applyBorder="1" applyProtection="1"/>
    <xf numFmtId="0" fontId="80" fillId="24" borderId="0" xfId="0" applyFont="1" applyFill="1" applyBorder="1" applyAlignment="1" applyProtection="1">
      <alignment horizontal="center" vertical="center"/>
    </xf>
    <xf numFmtId="0" fontId="58" fillId="24" borderId="0" xfId="0" applyFont="1" applyFill="1" applyProtection="1"/>
    <xf numFmtId="0" fontId="58" fillId="0" borderId="0" xfId="0" applyFont="1"/>
    <xf numFmtId="0" fontId="80" fillId="24" borderId="0" xfId="0" applyFont="1" applyFill="1" applyBorder="1" applyAlignment="1" applyProtection="1">
      <alignment horizontal="center" vertical="top" wrapText="1"/>
      <protection hidden="1"/>
    </xf>
    <xf numFmtId="0" fontId="79" fillId="24" borderId="0" xfId="0" applyFont="1" applyFill="1" applyBorder="1" applyAlignment="1" applyProtection="1">
      <alignment horizontal="center" vertical="center" wrapText="1"/>
      <protection hidden="1"/>
    </xf>
    <xf numFmtId="0" fontId="58" fillId="24" borderId="0" xfId="0" applyFont="1" applyFill="1" applyBorder="1" applyAlignment="1" applyProtection="1">
      <alignment horizontal="center" vertical="center"/>
      <protection hidden="1"/>
    </xf>
    <xf numFmtId="0" fontId="79" fillId="24" borderId="0" xfId="0" applyFont="1" applyFill="1" applyBorder="1" applyAlignment="1" applyProtection="1">
      <alignment horizontal="center" vertical="top" wrapText="1"/>
      <protection hidden="1"/>
    </xf>
    <xf numFmtId="0" fontId="80" fillId="24" borderId="0" xfId="0" applyFont="1" applyFill="1" applyBorder="1" applyAlignment="1" applyProtection="1">
      <alignment horizontal="center"/>
      <protection hidden="1"/>
    </xf>
    <xf numFmtId="49" fontId="80" fillId="24" borderId="0" xfId="0" applyNumberFormat="1" applyFont="1" applyFill="1" applyBorder="1" applyAlignment="1" applyProtection="1">
      <alignment horizontal="center" vertical="top"/>
      <protection hidden="1"/>
    </xf>
    <xf numFmtId="0" fontId="58" fillId="24" borderId="0" xfId="0" applyFont="1" applyFill="1"/>
    <xf numFmtId="0" fontId="15" fillId="25" borderId="10" xfId="0" applyFont="1" applyFill="1" applyBorder="1" applyAlignment="1" applyProtection="1">
      <alignment horizontal="center" vertical="center" wrapText="1"/>
      <protection locked="0"/>
    </xf>
    <xf numFmtId="0" fontId="57" fillId="24" borderId="0" xfId="0" applyFont="1" applyFill="1"/>
    <xf numFmtId="0" fontId="62" fillId="24" borderId="0" xfId="0" applyFont="1" applyFill="1" applyBorder="1" applyAlignment="1"/>
    <xf numFmtId="0" fontId="62" fillId="24" borderId="0" xfId="0" applyFont="1" applyFill="1" applyBorder="1" applyAlignment="1">
      <alignment horizontal="left"/>
    </xf>
    <xf numFmtId="0" fontId="62" fillId="24" borderId="0" xfId="0" applyFont="1" applyFill="1"/>
    <xf numFmtId="0" fontId="81" fillId="24" borderId="0" xfId="0" applyFont="1" applyFill="1" applyBorder="1" applyAlignment="1">
      <alignment horizontal="left"/>
    </xf>
    <xf numFmtId="0" fontId="57" fillId="24" borderId="0" xfId="0" applyFont="1" applyFill="1" applyBorder="1"/>
    <xf numFmtId="0" fontId="58" fillId="42" borderId="0" xfId="0" applyFont="1" applyFill="1" applyBorder="1" applyAlignment="1" applyProtection="1">
      <protection hidden="1"/>
    </xf>
    <xf numFmtId="0" fontId="58" fillId="42" borderId="0" xfId="0" applyFont="1" applyFill="1" applyBorder="1" applyAlignment="1" applyProtection="1">
      <alignment vertical="top" wrapText="1"/>
      <protection hidden="1"/>
    </xf>
    <xf numFmtId="0" fontId="3" fillId="0" borderId="0" xfId="0" applyFont="1" applyFill="1" applyBorder="1" applyProtection="1">
      <protection hidden="1"/>
    </xf>
    <xf numFmtId="0" fontId="58" fillId="0" borderId="0" xfId="0" applyFont="1" applyFill="1" applyBorder="1" applyProtection="1">
      <protection hidden="1"/>
    </xf>
    <xf numFmtId="0" fontId="1" fillId="0" borderId="0" xfId="0" applyFont="1" applyFill="1" applyBorder="1" applyProtection="1">
      <protection hidden="1"/>
    </xf>
    <xf numFmtId="0" fontId="3" fillId="0" borderId="0" xfId="0" applyFont="1" applyFill="1" applyBorder="1" applyAlignment="1" applyProtection="1">
      <alignment horizontal="center" vertical="center" wrapText="1"/>
      <protection hidden="1"/>
    </xf>
    <xf numFmtId="0" fontId="1" fillId="0" borderId="0" xfId="0" applyFont="1" applyFill="1" applyBorder="1" applyAlignment="1" applyProtection="1">
      <alignment horizontal="center" wrapText="1"/>
      <protection hidden="1"/>
    </xf>
    <xf numFmtId="0" fontId="3" fillId="0" borderId="0" xfId="0" applyFont="1" applyFill="1" applyBorder="1" applyAlignment="1" applyProtection="1">
      <alignment wrapText="1"/>
      <protection hidden="1"/>
    </xf>
    <xf numFmtId="0" fontId="1" fillId="0" borderId="0" xfId="0" applyFont="1" applyFill="1" applyBorder="1" applyAlignment="1" applyProtection="1">
      <alignment horizontal="center"/>
      <protection hidden="1"/>
    </xf>
    <xf numFmtId="0" fontId="3"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left"/>
      <protection hidden="1"/>
    </xf>
    <xf numFmtId="0" fontId="1" fillId="0" borderId="0" xfId="0" applyFont="1" applyFill="1" applyBorder="1" applyAlignment="1" applyProtection="1">
      <alignment horizontal="center" vertical="center" wrapText="1"/>
      <protection hidden="1"/>
    </xf>
    <xf numFmtId="0" fontId="1" fillId="0" borderId="0" xfId="0" applyFont="1" applyFill="1" applyBorder="1" applyAlignment="1" applyProtection="1">
      <alignment horizontal="center" vertical="center"/>
      <protection hidden="1"/>
    </xf>
    <xf numFmtId="168" fontId="1" fillId="0" borderId="0" xfId="0" applyNumberFormat="1" applyFont="1" applyFill="1" applyBorder="1" applyProtection="1">
      <protection hidden="1"/>
    </xf>
    <xf numFmtId="0" fontId="1" fillId="42" borderId="0" xfId="0" applyFont="1" applyFill="1" applyBorder="1" applyAlignment="1" applyProtection="1">
      <protection hidden="1"/>
    </xf>
    <xf numFmtId="0" fontId="3" fillId="42" borderId="27" xfId="0" applyFont="1" applyFill="1" applyBorder="1" applyAlignment="1" applyProtection="1">
      <alignment wrapText="1"/>
      <protection hidden="1"/>
    </xf>
    <xf numFmtId="0" fontId="1" fillId="42" borderId="0" xfId="0" applyFont="1" applyFill="1" applyAlignment="1" applyProtection="1">
      <protection hidden="1"/>
    </xf>
    <xf numFmtId="0" fontId="59" fillId="0" borderId="0" xfId="0" applyFont="1" applyFill="1" applyBorder="1" applyProtection="1">
      <protection hidden="1"/>
    </xf>
    <xf numFmtId="0" fontId="58" fillId="0" borderId="0" xfId="0" applyFont="1" applyFill="1" applyBorder="1" applyAlignment="1" applyProtection="1">
      <alignment horizontal="left"/>
      <protection hidden="1"/>
    </xf>
    <xf numFmtId="0" fontId="59" fillId="0" borderId="0" xfId="0" applyFont="1" applyFill="1" applyBorder="1" applyAlignment="1" applyProtection="1">
      <alignment horizontal="right"/>
      <protection hidden="1"/>
    </xf>
    <xf numFmtId="0" fontId="1" fillId="0" borderId="0" xfId="0" applyFont="1" applyFill="1" applyBorder="1" applyAlignment="1" applyProtection="1">
      <protection hidden="1"/>
    </xf>
    <xf numFmtId="0" fontId="23" fillId="24" borderId="0" xfId="0" applyFont="1" applyFill="1" applyBorder="1" applyAlignment="1" applyProtection="1">
      <alignment horizontal="center" vertical="center"/>
      <protection hidden="1"/>
    </xf>
    <xf numFmtId="0" fontId="1" fillId="24" borderId="0" xfId="0" applyFont="1" applyFill="1"/>
    <xf numFmtId="0" fontId="3" fillId="42" borderId="0" xfId="0" applyFont="1" applyFill="1" applyBorder="1" applyAlignment="1" applyProtection="1">
      <alignment vertical="center" wrapText="1"/>
      <protection hidden="1"/>
    </xf>
    <xf numFmtId="0" fontId="2" fillId="24" borderId="0" xfId="0" applyFont="1" applyFill="1"/>
    <xf numFmtId="0" fontId="3" fillId="42" borderId="0" xfId="0" applyFont="1" applyFill="1" applyBorder="1" applyProtection="1">
      <protection hidden="1"/>
    </xf>
    <xf numFmtId="0" fontId="15" fillId="42" borderId="0" xfId="0" applyFont="1" applyFill="1" applyBorder="1" applyAlignment="1" applyProtection="1">
      <alignment horizontal="center"/>
      <protection hidden="1"/>
    </xf>
    <xf numFmtId="0" fontId="15" fillId="0" borderId="10" xfId="0" applyFont="1" applyBorder="1" applyAlignment="1" applyProtection="1">
      <alignment horizontal="center"/>
      <protection hidden="1"/>
    </xf>
    <xf numFmtId="0" fontId="15" fillId="25" borderId="10" xfId="0" applyFont="1" applyFill="1" applyBorder="1" applyAlignment="1" applyProtection="1">
      <alignment horizontal="center"/>
      <protection locked="0"/>
    </xf>
    <xf numFmtId="0" fontId="3" fillId="0" borderId="0" xfId="0" applyFont="1" applyFill="1" applyBorder="1" applyAlignment="1" applyProtection="1">
      <alignment horizontal="center"/>
      <protection hidden="1"/>
    </xf>
    <xf numFmtId="0" fontId="3" fillId="47" borderId="10" xfId="0" applyFont="1" applyFill="1" applyBorder="1" applyAlignment="1" applyProtection="1">
      <alignment horizontal="left" vertical="center"/>
      <protection hidden="1"/>
    </xf>
    <xf numFmtId="0" fontId="3" fillId="0" borderId="0" xfId="0" applyFont="1" applyFill="1" applyBorder="1" applyAlignment="1" applyProtection="1">
      <protection hidden="1"/>
    </xf>
    <xf numFmtId="0" fontId="23" fillId="24" borderId="0" xfId="0" applyFont="1" applyFill="1" applyBorder="1" applyAlignment="1" applyProtection="1">
      <alignment horizontal="center" vertical="center"/>
      <protection hidden="1"/>
    </xf>
    <xf numFmtId="0" fontId="15" fillId="43" borderId="10" xfId="0" applyFont="1" applyFill="1" applyBorder="1" applyAlignment="1" applyProtection="1">
      <alignment horizontal="center" vertical="top" wrapText="1"/>
      <protection locked="0"/>
    </xf>
    <xf numFmtId="0" fontId="15" fillId="31" borderId="10" xfId="0" applyFont="1" applyFill="1" applyBorder="1" applyAlignment="1" applyProtection="1">
      <alignment horizontal="center" vertical="center" wrapText="1"/>
      <protection hidden="1"/>
    </xf>
    <xf numFmtId="0" fontId="57" fillId="42" borderId="0" xfId="0" applyFont="1" applyFill="1" applyBorder="1" applyAlignment="1" applyProtection="1">
      <alignment horizontal="center"/>
      <protection hidden="1"/>
    </xf>
    <xf numFmtId="0" fontId="60" fillId="42" borderId="0" xfId="0" applyFont="1" applyFill="1" applyBorder="1" applyAlignment="1" applyProtection="1">
      <alignment vertical="center" wrapText="1"/>
      <protection hidden="1"/>
    </xf>
    <xf numFmtId="0" fontId="60" fillId="42" borderId="0" xfId="0" applyFont="1" applyFill="1" applyBorder="1" applyAlignment="1" applyProtection="1">
      <alignment vertical="center"/>
      <protection hidden="1"/>
    </xf>
    <xf numFmtId="0" fontId="57" fillId="42" borderId="26" xfId="0" applyFont="1" applyFill="1" applyBorder="1" applyAlignment="1" applyProtection="1">
      <alignment horizontal="center" vertical="center" wrapText="1"/>
      <protection hidden="1"/>
    </xf>
    <xf numFmtId="0" fontId="1" fillId="42" borderId="10" xfId="0" applyFont="1" applyFill="1" applyBorder="1" applyAlignment="1" applyProtection="1">
      <alignment horizontal="center" vertical="center"/>
      <protection hidden="1"/>
    </xf>
    <xf numFmtId="0" fontId="1" fillId="42" borderId="22" xfId="0" applyFont="1" applyFill="1" applyBorder="1" applyAlignment="1" applyProtection="1">
      <alignment horizontal="center" vertical="center"/>
      <protection hidden="1"/>
    </xf>
    <xf numFmtId="0" fontId="83" fillId="42" borderId="26" xfId="0" applyFont="1" applyFill="1" applyBorder="1" applyAlignment="1" applyProtection="1">
      <alignment vertical="center"/>
      <protection locked="0" hidden="1"/>
    </xf>
    <xf numFmtId="0" fontId="1" fillId="0" borderId="0" xfId="0" applyFont="1" applyFill="1" applyBorder="1" applyAlignment="1" applyProtection="1">
      <alignment horizontal="right" vertical="center"/>
      <protection hidden="1"/>
    </xf>
    <xf numFmtId="14" fontId="58" fillId="24" borderId="0" xfId="0" applyNumberFormat="1" applyFont="1" applyFill="1" applyProtection="1">
      <protection hidden="1"/>
    </xf>
    <xf numFmtId="16" fontId="58" fillId="24" borderId="0" xfId="0" applyNumberFormat="1" applyFont="1" applyFill="1" applyProtection="1">
      <protection hidden="1"/>
    </xf>
    <xf numFmtId="0" fontId="58" fillId="42" borderId="30" xfId="0" applyFont="1" applyFill="1" applyBorder="1" applyProtection="1">
      <protection hidden="1"/>
    </xf>
    <xf numFmtId="0" fontId="15" fillId="35" borderId="10" xfId="0" applyFont="1" applyFill="1" applyBorder="1" applyAlignment="1" applyProtection="1">
      <alignment horizontal="center" vertical="top" wrapText="1"/>
      <protection hidden="1"/>
    </xf>
    <xf numFmtId="0" fontId="3" fillId="43" borderId="71" xfId="0" applyFont="1" applyFill="1" applyBorder="1" applyAlignment="1" applyProtection="1">
      <alignment vertical="center" wrapText="1"/>
    </xf>
    <xf numFmtId="0" fontId="15" fillId="49" borderId="73" xfId="0" applyFont="1" applyFill="1" applyBorder="1" applyAlignment="1" applyProtection="1">
      <alignment horizontal="center" vertical="center" wrapText="1"/>
      <protection hidden="1"/>
    </xf>
    <xf numFmtId="0" fontId="1" fillId="0" borderId="0" xfId="0" applyFont="1" applyFill="1" applyBorder="1" applyAlignment="1" applyProtection="1">
      <alignment vertical="top" wrapText="1"/>
      <protection hidden="1"/>
    </xf>
    <xf numFmtId="0" fontId="1" fillId="0" borderId="0" xfId="0" applyFont="1" applyFill="1" applyBorder="1" applyAlignment="1" applyProtection="1">
      <alignment vertical="top"/>
      <protection hidden="1"/>
    </xf>
    <xf numFmtId="0" fontId="0" fillId="0" borderId="27" xfId="0" applyFill="1" applyBorder="1" applyAlignment="1">
      <alignment vertical="top"/>
    </xf>
    <xf numFmtId="0" fontId="83" fillId="42" borderId="0" xfId="0" applyFont="1" applyFill="1" applyBorder="1" applyAlignment="1" applyProtection="1">
      <alignment horizontal="center" vertical="center"/>
      <protection locked="0"/>
    </xf>
    <xf numFmtId="0" fontId="83" fillId="42" borderId="27" xfId="0" applyFont="1" applyFill="1" applyBorder="1" applyAlignment="1" applyProtection="1">
      <alignment horizontal="center" vertical="center"/>
      <protection locked="0"/>
    </xf>
    <xf numFmtId="0" fontId="1" fillId="0" borderId="10" xfId="0" applyFont="1" applyBorder="1" applyAlignment="1" applyProtection="1">
      <protection hidden="1"/>
    </xf>
    <xf numFmtId="0" fontId="15" fillId="31" borderId="10" xfId="0" applyFont="1" applyFill="1" applyBorder="1" applyAlignment="1" applyProtection="1">
      <alignment horizontal="center" vertical="top" wrapText="1"/>
      <protection hidden="1"/>
    </xf>
    <xf numFmtId="0" fontId="15" fillId="25" borderId="14" xfId="50" applyFont="1" applyFill="1" applyBorder="1" applyAlignment="1" applyProtection="1">
      <alignment horizontal="center" vertical="center"/>
      <protection locked="0"/>
    </xf>
    <xf numFmtId="0" fontId="15" fillId="31" borderId="10" xfId="0" applyFont="1" applyFill="1" applyBorder="1" applyAlignment="1" applyProtection="1">
      <alignment horizontal="left" vertical="top" wrapText="1"/>
      <protection hidden="1"/>
    </xf>
    <xf numFmtId="0" fontId="84" fillId="0" borderId="10" xfId="0" applyFont="1" applyFill="1" applyBorder="1" applyAlignment="1" applyProtection="1">
      <alignment horizontal="center" vertical="center" wrapText="1"/>
      <protection hidden="1"/>
    </xf>
    <xf numFmtId="0" fontId="3" fillId="44" borderId="10" xfId="0" applyFont="1" applyFill="1" applyBorder="1" applyAlignment="1" applyProtection="1">
      <alignment horizontal="center" vertical="center" wrapText="1"/>
      <protection hidden="1"/>
    </xf>
    <xf numFmtId="0" fontId="15" fillId="49" borderId="73" xfId="0" applyFont="1" applyFill="1" applyBorder="1" applyAlignment="1" applyProtection="1">
      <alignment horizontal="center" vertical="center" wrapText="1"/>
      <protection locked="0" hidden="1"/>
    </xf>
    <xf numFmtId="0" fontId="15" fillId="25" borderId="38" xfId="50" applyFont="1" applyFill="1" applyBorder="1" applyAlignment="1" applyProtection="1">
      <alignment horizontal="center" vertical="center"/>
      <protection hidden="1"/>
    </xf>
    <xf numFmtId="0" fontId="57" fillId="24" borderId="20" xfId="0" applyFont="1" applyFill="1" applyBorder="1" applyAlignment="1" applyProtection="1">
      <alignment horizontal="center" vertical="top" wrapText="1"/>
      <protection hidden="1"/>
    </xf>
    <xf numFmtId="0" fontId="57" fillId="24" borderId="0" xfId="0" applyFont="1" applyFill="1" applyBorder="1" applyAlignment="1" applyProtection="1">
      <alignment horizontal="center" vertical="top" wrapText="1"/>
      <protection hidden="1"/>
    </xf>
    <xf numFmtId="0" fontId="61" fillId="24" borderId="0" xfId="0" applyFont="1" applyFill="1" applyBorder="1" applyAlignment="1" applyProtection="1">
      <alignment horizontal="center" vertical="top" wrapText="1"/>
      <protection hidden="1"/>
    </xf>
    <xf numFmtId="0" fontId="57" fillId="24" borderId="20" xfId="0" applyFont="1" applyFill="1" applyBorder="1" applyAlignment="1" applyProtection="1">
      <alignment vertical="top"/>
      <protection hidden="1"/>
    </xf>
    <xf numFmtId="0" fontId="57" fillId="24" borderId="0" xfId="0" applyFont="1" applyFill="1" applyBorder="1" applyAlignment="1" applyProtection="1">
      <alignment vertical="top"/>
      <protection hidden="1"/>
    </xf>
    <xf numFmtId="0" fontId="68" fillId="24" borderId="0" xfId="0" applyFont="1" applyFill="1" applyBorder="1" applyAlignment="1" applyProtection="1">
      <protection hidden="1"/>
    </xf>
    <xf numFmtId="0" fontId="68" fillId="24" borderId="0" xfId="0" applyFont="1" applyFill="1" applyBorder="1" applyAlignment="1" applyProtection="1">
      <alignment horizontal="center"/>
      <protection hidden="1"/>
    </xf>
    <xf numFmtId="0" fontId="68" fillId="42" borderId="26" xfId="0" applyFont="1" applyFill="1" applyBorder="1" applyAlignment="1" applyProtection="1">
      <alignment horizontal="center"/>
      <protection hidden="1"/>
    </xf>
    <xf numFmtId="0" fontId="16" fillId="26" borderId="11" xfId="0" applyFont="1" applyFill="1" applyBorder="1" applyAlignment="1" applyProtection="1">
      <alignment horizontal="center" vertical="top"/>
      <protection hidden="1"/>
    </xf>
    <xf numFmtId="0" fontId="15" fillId="25" borderId="11" xfId="0" applyFont="1" applyFill="1" applyBorder="1" applyAlignment="1" applyProtection="1">
      <alignment horizontal="center" vertical="top"/>
      <protection locked="0" hidden="1"/>
    </xf>
    <xf numFmtId="0" fontId="16" fillId="25" borderId="10" xfId="0" applyFont="1" applyFill="1" applyBorder="1" applyAlignment="1" applyProtection="1">
      <alignment vertical="top"/>
      <protection locked="0" hidden="1"/>
    </xf>
    <xf numFmtId="0" fontId="16" fillId="25" borderId="10" xfId="0" applyFont="1" applyFill="1" applyBorder="1" applyAlignment="1" applyProtection="1">
      <alignment horizontal="center" vertical="top"/>
      <protection locked="0" hidden="1"/>
    </xf>
    <xf numFmtId="0" fontId="16" fillId="25" borderId="10" xfId="0" applyFont="1" applyFill="1" applyBorder="1" applyAlignment="1" applyProtection="1">
      <alignment wrapText="1"/>
      <protection locked="0" hidden="1"/>
    </xf>
    <xf numFmtId="0" fontId="16" fillId="25" borderId="10" xfId="0" applyFont="1" applyFill="1" applyBorder="1" applyAlignment="1" applyProtection="1">
      <protection locked="0" hidden="1"/>
    </xf>
    <xf numFmtId="0" fontId="80" fillId="24" borderId="0" xfId="0" applyFont="1" applyFill="1"/>
    <xf numFmtId="0" fontId="86" fillId="30" borderId="10" xfId="0" applyFont="1" applyFill="1" applyBorder="1" applyAlignment="1" applyProtection="1">
      <alignment horizontal="center" vertical="top" wrapText="1"/>
      <protection hidden="1"/>
    </xf>
    <xf numFmtId="0" fontId="86" fillId="30" borderId="13" xfId="0" applyFont="1" applyFill="1" applyBorder="1" applyAlignment="1" applyProtection="1">
      <alignment horizontal="center" vertical="top" wrapText="1"/>
      <protection hidden="1"/>
    </xf>
    <xf numFmtId="0" fontId="87" fillId="35" borderId="10" xfId="0" applyFont="1" applyFill="1" applyBorder="1" applyAlignment="1" applyProtection="1">
      <alignment horizontal="center"/>
      <protection hidden="1"/>
    </xf>
    <xf numFmtId="0" fontId="88" fillId="44" borderId="22" xfId="0" applyFont="1" applyFill="1" applyBorder="1" applyAlignment="1">
      <alignment horizontal="center" vertical="center"/>
    </xf>
    <xf numFmtId="0" fontId="2" fillId="0" borderId="12" xfId="0" applyFont="1" applyFill="1" applyBorder="1" applyAlignment="1">
      <alignment horizontal="left"/>
    </xf>
    <xf numFmtId="0" fontId="0" fillId="0" borderId="11" xfId="0" applyBorder="1" applyAlignment="1"/>
    <xf numFmtId="0" fontId="0" fillId="28" borderId="12" xfId="0" applyFill="1" applyBorder="1" applyAlignment="1"/>
    <xf numFmtId="0" fontId="0" fillId="28" borderId="11" xfId="0" applyFill="1" applyBorder="1" applyAlignment="1"/>
    <xf numFmtId="0" fontId="4" fillId="31" borderId="10" xfId="0" applyFont="1" applyFill="1" applyBorder="1" applyAlignment="1">
      <alignment horizontal="center" vertical="top" wrapText="1"/>
    </xf>
    <xf numFmtId="0" fontId="0" fillId="0" borderId="10" xfId="0" applyBorder="1" applyAlignment="1"/>
    <xf numFmtId="0" fontId="5" fillId="30" borderId="19" xfId="0" applyFont="1" applyFill="1" applyBorder="1" applyAlignment="1">
      <alignment horizontal="center" vertical="center" wrapText="1"/>
    </xf>
    <xf numFmtId="0" fontId="0" fillId="0" borderId="21" xfId="0" applyBorder="1" applyAlignment="1"/>
    <xf numFmtId="0" fontId="0" fillId="0" borderId="28" xfId="0" applyBorder="1" applyAlignment="1"/>
    <xf numFmtId="0" fontId="0" fillId="0" borderId="29" xfId="0" applyBorder="1" applyAlignment="1"/>
    <xf numFmtId="0" fontId="0" fillId="37" borderId="19" xfId="0" applyFill="1" applyBorder="1" applyAlignment="1"/>
    <xf numFmtId="0" fontId="0" fillId="37" borderId="21" xfId="0" applyFill="1" applyBorder="1" applyAlignment="1"/>
    <xf numFmtId="0" fontId="0" fillId="37" borderId="20" xfId="0" applyFill="1" applyBorder="1" applyAlignment="1"/>
    <xf numFmtId="0" fontId="0" fillId="37" borderId="30" xfId="0" applyFill="1" applyBorder="1" applyAlignment="1"/>
    <xf numFmtId="0" fontId="0" fillId="37" borderId="28" xfId="0" applyFill="1" applyBorder="1" applyAlignment="1"/>
    <xf numFmtId="0" fontId="0" fillId="37" borderId="29" xfId="0" applyFill="1" applyBorder="1" applyAlignment="1"/>
    <xf numFmtId="0" fontId="74" fillId="42" borderId="60" xfId="0" applyFont="1" applyFill="1" applyBorder="1" applyAlignment="1" applyProtection="1">
      <alignment horizontal="center" vertical="center" wrapText="1"/>
      <protection hidden="1"/>
    </xf>
    <xf numFmtId="0" fontId="74" fillId="42" borderId="57" xfId="0" applyFont="1" applyFill="1" applyBorder="1" applyAlignment="1" applyProtection="1">
      <alignment horizontal="center" vertical="center" wrapText="1"/>
      <protection hidden="1"/>
    </xf>
    <xf numFmtId="0" fontId="74" fillId="42" borderId="62" xfId="0" applyFont="1" applyFill="1" applyBorder="1" applyAlignment="1" applyProtection="1">
      <alignment horizontal="center" vertical="center" wrapText="1"/>
      <protection hidden="1"/>
    </xf>
    <xf numFmtId="0" fontId="74" fillId="42" borderId="63" xfId="0" applyFont="1" applyFill="1" applyBorder="1" applyAlignment="1" applyProtection="1">
      <alignment horizontal="center" vertical="center" wrapText="1"/>
      <protection hidden="1"/>
    </xf>
    <xf numFmtId="0" fontId="70" fillId="42" borderId="20" xfId="0" applyFont="1" applyFill="1" applyBorder="1" applyAlignment="1" applyProtection="1">
      <alignment horizontal="left" vertical="top" wrapText="1"/>
      <protection hidden="1"/>
    </xf>
    <xf numFmtId="0" fontId="70" fillId="42" borderId="0" xfId="0" applyFont="1" applyFill="1" applyBorder="1" applyAlignment="1" applyProtection="1">
      <alignment horizontal="left" vertical="top" wrapText="1"/>
      <protection hidden="1"/>
    </xf>
    <xf numFmtId="0" fontId="70" fillId="42" borderId="30" xfId="0" applyFont="1" applyFill="1" applyBorder="1" applyAlignment="1" applyProtection="1">
      <alignment horizontal="left" vertical="top" wrapText="1"/>
      <protection hidden="1"/>
    </xf>
    <xf numFmtId="0" fontId="73" fillId="42" borderId="61" xfId="0" applyFont="1" applyFill="1" applyBorder="1" applyAlignment="1" applyProtection="1">
      <alignment vertical="top" wrapText="1"/>
      <protection hidden="1"/>
    </xf>
    <xf numFmtId="0" fontId="73" fillId="42" borderId="55" xfId="0" applyFont="1" applyFill="1" applyBorder="1" applyAlignment="1" applyProtection="1">
      <alignment vertical="top" wrapText="1"/>
      <protection hidden="1"/>
    </xf>
    <xf numFmtId="0" fontId="73" fillId="42" borderId="56" xfId="0" applyFont="1" applyFill="1" applyBorder="1" applyAlignment="1" applyProtection="1">
      <alignment vertical="top" wrapText="1"/>
      <protection hidden="1"/>
    </xf>
    <xf numFmtId="0" fontId="70" fillId="42" borderId="20" xfId="0" applyFont="1" applyFill="1" applyBorder="1" applyAlignment="1" applyProtection="1">
      <alignment vertical="top" wrapText="1"/>
      <protection hidden="1"/>
    </xf>
    <xf numFmtId="0" fontId="70" fillId="42" borderId="0" xfId="0" applyFont="1" applyFill="1" applyBorder="1" applyAlignment="1" applyProtection="1">
      <alignment vertical="top" wrapText="1"/>
      <protection hidden="1"/>
    </xf>
    <xf numFmtId="0" fontId="70" fillId="42" borderId="30" xfId="0" applyFont="1" applyFill="1" applyBorder="1" applyAlignment="1" applyProtection="1">
      <alignment vertical="top" wrapText="1"/>
      <protection hidden="1"/>
    </xf>
    <xf numFmtId="0" fontId="70" fillId="42" borderId="20" xfId="58" applyFont="1" applyFill="1" applyBorder="1" applyAlignment="1" applyProtection="1">
      <alignment vertical="top" wrapText="1"/>
      <protection hidden="1"/>
    </xf>
    <xf numFmtId="0" fontId="78" fillId="42" borderId="0" xfId="58" applyFont="1" applyFill="1" applyBorder="1" applyAlignment="1" applyProtection="1">
      <alignment vertical="top" wrapText="1"/>
      <protection hidden="1"/>
    </xf>
    <xf numFmtId="0" fontId="78" fillId="42" borderId="30" xfId="58" applyFont="1" applyFill="1" applyBorder="1" applyAlignment="1" applyProtection="1">
      <alignment vertical="top" wrapText="1"/>
      <protection hidden="1"/>
    </xf>
    <xf numFmtId="0" fontId="75" fillId="42" borderId="20" xfId="0" applyFont="1" applyFill="1" applyBorder="1" applyAlignment="1" applyProtection="1">
      <alignment horizontal="left"/>
      <protection hidden="1"/>
    </xf>
    <xf numFmtId="0" fontId="75" fillId="42" borderId="0" xfId="0" applyFont="1" applyFill="1" applyBorder="1" applyAlignment="1" applyProtection="1">
      <alignment horizontal="left"/>
      <protection hidden="1"/>
    </xf>
    <xf numFmtId="0" fontId="0" fillId="42" borderId="0" xfId="0" applyFill="1" applyBorder="1" applyAlignment="1" applyProtection="1">
      <alignment vertical="top" wrapText="1"/>
      <protection hidden="1"/>
    </xf>
    <xf numFmtId="0" fontId="0" fillId="42" borderId="30" xfId="0" applyFill="1" applyBorder="1" applyAlignment="1" applyProtection="1">
      <alignment vertical="top" wrapText="1"/>
      <protection hidden="1"/>
    </xf>
    <xf numFmtId="0" fontId="77" fillId="51" borderId="12" xfId="0" applyFont="1" applyFill="1" applyBorder="1" applyAlignment="1" applyProtection="1">
      <alignment horizontal="center" vertical="center" wrapText="1"/>
      <protection hidden="1"/>
    </xf>
    <xf numFmtId="0" fontId="69" fillId="51" borderId="15" xfId="0" applyFont="1" applyFill="1" applyBorder="1" applyAlignment="1" applyProtection="1">
      <alignment horizontal="center" vertical="center"/>
      <protection hidden="1"/>
    </xf>
    <xf numFmtId="0" fontId="69" fillId="51" borderId="11" xfId="0" applyFont="1" applyFill="1" applyBorder="1" applyAlignment="1" applyProtection="1">
      <alignment horizontal="center" vertical="center"/>
      <protection hidden="1"/>
    </xf>
    <xf numFmtId="0" fontId="70" fillId="42" borderId="0" xfId="0" applyFont="1" applyFill="1" applyAlignment="1" applyProtection="1">
      <alignment vertical="top" wrapText="1"/>
      <protection hidden="1"/>
    </xf>
    <xf numFmtId="0" fontId="0" fillId="42" borderId="0" xfId="0" applyFill="1" applyAlignment="1" applyProtection="1">
      <alignment vertical="top" wrapText="1"/>
      <protection hidden="1"/>
    </xf>
    <xf numFmtId="0" fontId="70" fillId="0" borderId="0" xfId="0" applyFont="1" applyAlignment="1">
      <alignment vertical="top" wrapText="1"/>
    </xf>
    <xf numFmtId="0" fontId="0" fillId="0" borderId="0" xfId="0" applyAlignment="1">
      <alignment vertical="top" wrapText="1"/>
    </xf>
    <xf numFmtId="0" fontId="0" fillId="0" borderId="30" xfId="0" applyBorder="1" applyAlignment="1">
      <alignment vertical="top" wrapText="1"/>
    </xf>
    <xf numFmtId="0" fontId="75" fillId="42" borderId="30" xfId="0" applyFont="1" applyFill="1" applyBorder="1" applyAlignment="1" applyProtection="1">
      <alignment horizontal="left"/>
      <protection hidden="1"/>
    </xf>
    <xf numFmtId="49" fontId="2" fillId="0" borderId="22" xfId="0" applyNumberFormat="1" applyFont="1" applyBorder="1" applyAlignment="1" applyProtection="1">
      <alignment horizontal="center" vertical="center"/>
      <protection hidden="1"/>
    </xf>
    <xf numFmtId="49" fontId="2" fillId="0" borderId="25" xfId="0" applyNumberFormat="1" applyFont="1" applyBorder="1" applyAlignment="1" applyProtection="1">
      <alignment horizontal="center" vertical="center"/>
      <protection hidden="1"/>
    </xf>
    <xf numFmtId="0" fontId="0" fillId="28" borderId="10" xfId="0" applyFill="1" applyBorder="1" applyAlignment="1" applyProtection="1">
      <alignment horizontal="center"/>
      <protection hidden="1"/>
    </xf>
    <xf numFmtId="0" fontId="2" fillId="0" borderId="22" xfId="0" applyFont="1" applyBorder="1" applyAlignment="1" applyProtection="1">
      <alignment horizontal="center" vertical="center"/>
      <protection hidden="1"/>
    </xf>
    <xf numFmtId="0" fontId="2" fillId="0" borderId="39" xfId="0" applyFont="1" applyBorder="1" applyAlignment="1" applyProtection="1">
      <alignment horizontal="center" vertical="center"/>
      <protection hidden="1"/>
    </xf>
    <xf numFmtId="0" fontId="2" fillId="0" borderId="25" xfId="0" applyFont="1" applyBorder="1" applyAlignment="1" applyProtection="1">
      <alignment horizontal="center" vertical="center"/>
      <protection hidden="1"/>
    </xf>
    <xf numFmtId="0" fontId="1" fillId="0" borderId="40" xfId="0" applyFont="1" applyFill="1" applyBorder="1" applyAlignment="1" applyProtection="1">
      <protection hidden="1"/>
    </xf>
    <xf numFmtId="0" fontId="1" fillId="0" borderId="26" xfId="0" applyFont="1" applyFill="1" applyBorder="1" applyAlignment="1" applyProtection="1">
      <protection hidden="1"/>
    </xf>
    <xf numFmtId="0" fontId="1" fillId="0" borderId="21" xfId="0" applyFont="1" applyFill="1" applyBorder="1" applyAlignment="1" applyProtection="1">
      <protection hidden="1"/>
    </xf>
    <xf numFmtId="0" fontId="3" fillId="35" borderId="16" xfId="0" applyFont="1" applyFill="1" applyBorder="1" applyAlignment="1" applyProtection="1">
      <alignment horizontal="left" vertical="center"/>
      <protection hidden="1"/>
    </xf>
    <xf numFmtId="0" fontId="3" fillId="35" borderId="15" xfId="0" applyFont="1" applyFill="1" applyBorder="1" applyAlignment="1" applyProtection="1">
      <alignment horizontal="left" vertical="center"/>
      <protection hidden="1"/>
    </xf>
    <xf numFmtId="0" fontId="3" fillId="35" borderId="18" xfId="0" applyFont="1" applyFill="1" applyBorder="1" applyAlignment="1" applyProtection="1">
      <alignment horizontal="left" vertical="center"/>
      <protection hidden="1"/>
    </xf>
    <xf numFmtId="0" fontId="3" fillId="27" borderId="16" xfId="0" applyFont="1" applyFill="1" applyBorder="1" applyAlignment="1" applyProtection="1">
      <alignment horizontal="left"/>
      <protection hidden="1"/>
    </xf>
    <xf numFmtId="0" fontId="3" fillId="0" borderId="11" xfId="0" applyFont="1" applyBorder="1" applyAlignment="1" applyProtection="1">
      <alignment horizontal="left"/>
      <protection hidden="1"/>
    </xf>
    <xf numFmtId="0" fontId="15" fillId="25" borderId="14" xfId="50" applyFont="1" applyFill="1" applyBorder="1" applyAlignment="1" applyProtection="1">
      <alignment horizontal="center" vertical="center"/>
      <protection locked="0"/>
    </xf>
    <xf numFmtId="0" fontId="15" fillId="25" borderId="38" xfId="50" applyFont="1" applyFill="1" applyBorder="1" applyAlignment="1" applyProtection="1">
      <alignment horizontal="center" vertical="center"/>
      <protection locked="0"/>
    </xf>
    <xf numFmtId="0" fontId="15" fillId="0" borderId="13" xfId="0" applyFont="1" applyFill="1" applyBorder="1" applyAlignment="1" applyProtection="1">
      <alignment horizontal="center" vertical="center"/>
      <protection hidden="1"/>
    </xf>
    <xf numFmtId="0" fontId="15" fillId="0" borderId="33" xfId="0" applyFont="1" applyFill="1" applyBorder="1" applyAlignment="1" applyProtection="1">
      <alignment horizontal="center" vertical="center"/>
      <protection hidden="1"/>
    </xf>
    <xf numFmtId="0" fontId="1" fillId="0" borderId="16" xfId="0" applyFont="1" applyFill="1" applyBorder="1" applyAlignment="1" applyProtection="1">
      <protection hidden="1"/>
    </xf>
    <xf numFmtId="0" fontId="1" fillId="0" borderId="15" xfId="0" applyFont="1" applyBorder="1" applyAlignment="1" applyProtection="1">
      <protection hidden="1"/>
    </xf>
    <xf numFmtId="0" fontId="1" fillId="0" borderId="11" xfId="0" applyFont="1" applyBorder="1" applyAlignment="1" applyProtection="1">
      <protection hidden="1"/>
    </xf>
    <xf numFmtId="0" fontId="15" fillId="0" borderId="31" xfId="0" applyFont="1" applyFill="1" applyBorder="1" applyAlignment="1" applyProtection="1">
      <alignment horizontal="center" vertical="center"/>
      <protection hidden="1"/>
    </xf>
    <xf numFmtId="0" fontId="15" fillId="0" borderId="32" xfId="0" applyFont="1" applyFill="1" applyBorder="1" applyAlignment="1" applyProtection="1">
      <alignment horizontal="center" vertical="center"/>
      <protection hidden="1"/>
    </xf>
    <xf numFmtId="0" fontId="15" fillId="0" borderId="10" xfId="0" applyFont="1" applyFill="1" applyBorder="1" applyAlignment="1" applyProtection="1">
      <alignment horizontal="center" vertical="center"/>
      <protection hidden="1"/>
    </xf>
    <xf numFmtId="0" fontId="15" fillId="0" borderId="24" xfId="0" applyFont="1" applyFill="1" applyBorder="1" applyAlignment="1" applyProtection="1">
      <alignment horizontal="center" vertical="center"/>
      <protection hidden="1"/>
    </xf>
    <xf numFmtId="0" fontId="1" fillId="0" borderId="31" xfId="0" applyFont="1" applyBorder="1" applyAlignment="1" applyProtection="1">
      <alignment horizontal="center"/>
    </xf>
    <xf numFmtId="0" fontId="1" fillId="0" borderId="37" xfId="0" applyFont="1" applyBorder="1" applyAlignment="1" applyProtection="1">
      <alignment horizontal="center"/>
    </xf>
    <xf numFmtId="0" fontId="3" fillId="36" borderId="17" xfId="0" applyFont="1" applyFill="1" applyBorder="1" applyAlignment="1" applyProtection="1">
      <alignment horizontal="center" vertical="top"/>
      <protection hidden="1"/>
    </xf>
    <xf numFmtId="0" fontId="3" fillId="36" borderId="10" xfId="0" applyFont="1" applyFill="1" applyBorder="1" applyAlignment="1" applyProtection="1">
      <alignment horizontal="center" vertical="top"/>
      <protection hidden="1"/>
    </xf>
    <xf numFmtId="0" fontId="3" fillId="36" borderId="13" xfId="0" applyFont="1" applyFill="1" applyBorder="1" applyAlignment="1" applyProtection="1">
      <alignment horizontal="center" vertical="top"/>
      <protection hidden="1"/>
    </xf>
    <xf numFmtId="0" fontId="3" fillId="28" borderId="17" xfId="0" applyFont="1" applyFill="1" applyBorder="1" applyAlignment="1" applyProtection="1">
      <alignment horizontal="center" vertical="top"/>
      <protection hidden="1"/>
    </xf>
    <xf numFmtId="0" fontId="3" fillId="28" borderId="10" xfId="0" applyFont="1" applyFill="1" applyBorder="1" applyAlignment="1" applyProtection="1">
      <alignment horizontal="center" vertical="top" wrapText="1"/>
      <protection hidden="1"/>
    </xf>
    <xf numFmtId="0" fontId="3" fillId="28" borderId="13" xfId="0" applyFont="1" applyFill="1" applyBorder="1" applyAlignment="1" applyProtection="1">
      <alignment horizontal="center" vertical="top"/>
      <protection hidden="1"/>
    </xf>
    <xf numFmtId="0" fontId="1" fillId="0" borderId="31" xfId="0" applyFont="1" applyBorder="1" applyAlignment="1" applyProtection="1">
      <alignment horizontal="center"/>
      <protection hidden="1"/>
    </xf>
    <xf numFmtId="0" fontId="1" fillId="0" borderId="37" xfId="0" applyFont="1" applyBorder="1" applyAlignment="1" applyProtection="1">
      <alignment horizontal="center"/>
      <protection hidden="1"/>
    </xf>
    <xf numFmtId="0" fontId="1" fillId="0" borderId="16" xfId="0" applyFont="1" applyFill="1" applyBorder="1" applyAlignment="1" applyProtection="1">
      <alignment horizontal="left"/>
      <protection hidden="1"/>
    </xf>
    <xf numFmtId="0" fontId="1" fillId="0" borderId="15" xfId="0" applyFont="1" applyFill="1" applyBorder="1" applyAlignment="1" applyProtection="1">
      <alignment horizontal="left"/>
      <protection hidden="1"/>
    </xf>
    <xf numFmtId="0" fontId="1" fillId="0" borderId="11" xfId="0" applyFont="1" applyFill="1" applyBorder="1" applyAlignment="1" applyProtection="1">
      <alignment horizontal="left"/>
      <protection hidden="1"/>
    </xf>
    <xf numFmtId="0" fontId="1" fillId="0" borderId="22" xfId="0" applyFont="1" applyBorder="1" applyAlignment="1" applyProtection="1">
      <alignment horizontal="center" vertical="center"/>
      <protection hidden="1"/>
    </xf>
    <xf numFmtId="0" fontId="1" fillId="0" borderId="39" xfId="0" applyFont="1" applyBorder="1" applyAlignment="1" applyProtection="1">
      <alignment horizontal="center" vertical="center"/>
      <protection hidden="1"/>
    </xf>
    <xf numFmtId="0" fontId="1" fillId="0" borderId="25" xfId="0" applyFont="1" applyBorder="1" applyAlignment="1" applyProtection="1">
      <alignment horizontal="center" vertical="center"/>
      <protection hidden="1"/>
    </xf>
    <xf numFmtId="0" fontId="1" fillId="28" borderId="10" xfId="0" applyFont="1" applyFill="1" applyBorder="1" applyAlignment="1" applyProtection="1">
      <alignment horizontal="center"/>
      <protection hidden="1"/>
    </xf>
    <xf numFmtId="0" fontId="3" fillId="31" borderId="16" xfId="0" applyFont="1" applyFill="1" applyBorder="1" applyAlignment="1" applyProtection="1">
      <alignment horizontal="left"/>
      <protection hidden="1"/>
    </xf>
    <xf numFmtId="0" fontId="3" fillId="31" borderId="15" xfId="0" applyFont="1" applyFill="1" applyBorder="1" applyAlignment="1" applyProtection="1">
      <alignment horizontal="left"/>
      <protection hidden="1"/>
    </xf>
    <xf numFmtId="0" fontId="3" fillId="31" borderId="18" xfId="0" applyFont="1" applyFill="1" applyBorder="1" applyAlignment="1" applyProtection="1">
      <alignment horizontal="left"/>
      <protection hidden="1"/>
    </xf>
    <xf numFmtId="0" fontId="15" fillId="25" borderId="14" xfId="0" applyFont="1" applyFill="1" applyBorder="1" applyAlignment="1" applyProtection="1">
      <alignment horizontal="center" vertical="center"/>
      <protection locked="0"/>
    </xf>
    <xf numFmtId="0" fontId="15" fillId="25" borderId="38" xfId="0" applyFont="1" applyFill="1" applyBorder="1" applyAlignment="1" applyProtection="1">
      <alignment horizontal="center" vertical="center"/>
      <protection locked="0"/>
    </xf>
    <xf numFmtId="0" fontId="3" fillId="36" borderId="40" xfId="0" applyFont="1" applyFill="1" applyBorder="1" applyAlignment="1" applyProtection="1">
      <alignment horizontal="center" vertical="top"/>
      <protection hidden="1"/>
    </xf>
    <xf numFmtId="0" fontId="3" fillId="36" borderId="26" xfId="0" applyFont="1" applyFill="1" applyBorder="1" applyAlignment="1" applyProtection="1">
      <alignment horizontal="center" vertical="top"/>
      <protection hidden="1"/>
    </xf>
    <xf numFmtId="0" fontId="3" fillId="36" borderId="49" xfId="0" applyFont="1" applyFill="1" applyBorder="1" applyAlignment="1" applyProtection="1">
      <alignment horizontal="center" vertical="top"/>
      <protection hidden="1"/>
    </xf>
    <xf numFmtId="0" fontId="3" fillId="36" borderId="50" xfId="0" applyFont="1" applyFill="1" applyBorder="1" applyAlignment="1" applyProtection="1">
      <alignment horizontal="center" vertical="top"/>
      <protection hidden="1"/>
    </xf>
    <xf numFmtId="0" fontId="3" fillId="36" borderId="27" xfId="0" applyFont="1" applyFill="1" applyBorder="1" applyAlignment="1" applyProtection="1">
      <alignment horizontal="center" vertical="top"/>
      <protection hidden="1"/>
    </xf>
    <xf numFmtId="0" fontId="3" fillId="36" borderId="51" xfId="0" applyFont="1" applyFill="1" applyBorder="1" applyAlignment="1" applyProtection="1">
      <alignment horizontal="center" vertical="top"/>
      <protection hidden="1"/>
    </xf>
    <xf numFmtId="168" fontId="15" fillId="0" borderId="17" xfId="0" applyNumberFormat="1" applyFont="1" applyFill="1" applyBorder="1" applyAlignment="1" applyProtection="1">
      <alignment horizontal="center" vertical="center"/>
      <protection hidden="1"/>
    </xf>
    <xf numFmtId="168" fontId="15" fillId="0" borderId="41" xfId="0" applyNumberFormat="1" applyFont="1" applyFill="1" applyBorder="1" applyAlignment="1" applyProtection="1">
      <alignment horizontal="center" vertical="center"/>
      <protection hidden="1"/>
    </xf>
    <xf numFmtId="0" fontId="3" fillId="38" borderId="69" xfId="0" applyFont="1" applyFill="1" applyBorder="1" applyAlignment="1" applyProtection="1">
      <alignment horizontal="center" vertical="center" wrapText="1"/>
    </xf>
    <xf numFmtId="0" fontId="3" fillId="38" borderId="45" xfId="0" applyFont="1" applyFill="1" applyBorder="1" applyAlignment="1" applyProtection="1">
      <alignment horizontal="center" vertical="center" wrapText="1"/>
    </xf>
    <xf numFmtId="0" fontId="3" fillId="38" borderId="70" xfId="0" applyFont="1" applyFill="1" applyBorder="1" applyAlignment="1" applyProtection="1">
      <alignment horizontal="center" vertical="center" wrapText="1"/>
    </xf>
    <xf numFmtId="0" fontId="15" fillId="44" borderId="34" xfId="0" applyFont="1" applyFill="1" applyBorder="1" applyAlignment="1" applyProtection="1">
      <alignment horizontal="center" vertical="center" wrapText="1"/>
      <protection hidden="1"/>
    </xf>
    <xf numFmtId="0" fontId="15" fillId="44" borderId="35" xfId="0" applyFont="1" applyFill="1" applyBorder="1" applyAlignment="1" applyProtection="1">
      <alignment horizontal="center" vertical="center" wrapText="1"/>
      <protection hidden="1"/>
    </xf>
    <xf numFmtId="0" fontId="15" fillId="44" borderId="36" xfId="0" applyFont="1" applyFill="1" applyBorder="1" applyAlignment="1" applyProtection="1">
      <alignment horizontal="center" vertical="center" wrapText="1"/>
      <protection hidden="1"/>
    </xf>
    <xf numFmtId="0" fontId="15" fillId="43" borderId="65" xfId="0" applyFont="1" applyFill="1" applyBorder="1" applyAlignment="1" applyProtection="1">
      <alignment horizontal="center" vertical="center" wrapText="1"/>
      <protection hidden="1"/>
    </xf>
    <xf numFmtId="0" fontId="15" fillId="43" borderId="66" xfId="0" applyFont="1" applyFill="1" applyBorder="1" applyAlignment="1" applyProtection="1">
      <alignment horizontal="center" vertical="center" wrapText="1"/>
      <protection hidden="1"/>
    </xf>
    <xf numFmtId="0" fontId="15" fillId="43" borderId="67" xfId="0" applyFont="1" applyFill="1" applyBorder="1" applyAlignment="1" applyProtection="1">
      <alignment horizontal="center" vertical="center" wrapText="1"/>
      <protection hidden="1"/>
    </xf>
    <xf numFmtId="0" fontId="15" fillId="52" borderId="68" xfId="0" applyFont="1" applyFill="1" applyBorder="1" applyAlignment="1" applyProtection="1">
      <alignment horizontal="center" vertical="center" wrapText="1"/>
      <protection hidden="1"/>
    </xf>
    <xf numFmtId="0" fontId="15" fillId="52" borderId="43" xfId="0" applyFont="1" applyFill="1" applyBorder="1" applyAlignment="1" applyProtection="1">
      <alignment horizontal="center" vertical="center" wrapText="1"/>
      <protection hidden="1"/>
    </xf>
    <xf numFmtId="0" fontId="15" fillId="52" borderId="44" xfId="0" applyFont="1" applyFill="1" applyBorder="1" applyAlignment="1" applyProtection="1">
      <alignment horizontal="center" vertical="center" wrapText="1"/>
      <protection hidden="1"/>
    </xf>
    <xf numFmtId="0" fontId="15" fillId="49" borderId="10" xfId="0" applyFont="1" applyFill="1" applyBorder="1" applyAlignment="1" applyProtection="1">
      <alignment horizontal="center" vertical="center" wrapText="1"/>
      <protection locked="0"/>
    </xf>
    <xf numFmtId="0" fontId="15" fillId="49" borderId="10" xfId="0" applyFont="1" applyFill="1" applyBorder="1" applyAlignment="1" applyProtection="1">
      <alignment horizontal="center" vertical="center" wrapText="1"/>
      <protection locked="0" hidden="1"/>
    </xf>
    <xf numFmtId="0" fontId="15" fillId="47" borderId="13" xfId="0" applyFont="1" applyFill="1" applyBorder="1" applyAlignment="1" applyProtection="1">
      <alignment horizontal="center" vertical="center" wrapText="1"/>
      <protection hidden="1"/>
    </xf>
    <xf numFmtId="167" fontId="15" fillId="25" borderId="12" xfId="0" applyNumberFormat="1" applyFont="1" applyFill="1" applyBorder="1" applyAlignment="1" applyProtection="1">
      <alignment horizontal="center" vertical="center" wrapText="1"/>
      <protection locked="0"/>
    </xf>
    <xf numFmtId="167" fontId="15" fillId="25" borderId="15" xfId="0" applyNumberFormat="1" applyFont="1" applyFill="1" applyBorder="1" applyAlignment="1" applyProtection="1">
      <alignment horizontal="center" vertical="center" wrapText="1"/>
      <protection locked="0"/>
    </xf>
    <xf numFmtId="167" fontId="15" fillId="25" borderId="11" xfId="0" applyNumberFormat="1" applyFont="1" applyFill="1" applyBorder="1" applyAlignment="1" applyProtection="1">
      <alignment horizontal="center" vertical="center" wrapText="1"/>
      <protection locked="0"/>
    </xf>
    <xf numFmtId="0" fontId="15" fillId="31" borderId="10" xfId="0" applyFont="1" applyFill="1" applyBorder="1" applyAlignment="1" applyProtection="1">
      <alignment horizontal="center" vertical="top" wrapText="1"/>
      <protection hidden="1"/>
    </xf>
    <xf numFmtId="0" fontId="15" fillId="25" borderId="10" xfId="0" applyFont="1" applyFill="1" applyBorder="1" applyAlignment="1" applyProtection="1">
      <alignment horizontal="center" vertical="top"/>
      <protection locked="0"/>
    </xf>
    <xf numFmtId="0" fontId="15" fillId="25" borderId="10" xfId="0" applyFont="1" applyFill="1" applyBorder="1" applyAlignment="1" applyProtection="1">
      <alignment horizontal="center" vertical="top" wrapText="1"/>
      <protection locked="0"/>
    </xf>
    <xf numFmtId="0" fontId="15" fillId="49" borderId="12" xfId="0" applyFont="1" applyFill="1" applyBorder="1" applyAlignment="1" applyProtection="1">
      <alignment horizontal="center" vertical="top" wrapText="1"/>
      <protection locked="0" hidden="1"/>
    </xf>
    <xf numFmtId="0" fontId="15" fillId="49" borderId="15" xfId="0" applyFont="1" applyFill="1" applyBorder="1" applyAlignment="1" applyProtection="1">
      <alignment horizontal="center" vertical="top" wrapText="1"/>
      <protection locked="0" hidden="1"/>
    </xf>
    <xf numFmtId="0" fontId="15" fillId="49" borderId="11" xfId="0" applyFont="1" applyFill="1" applyBorder="1" applyAlignment="1" applyProtection="1">
      <alignment horizontal="center" vertical="top" wrapText="1"/>
      <protection locked="0" hidden="1"/>
    </xf>
    <xf numFmtId="0" fontId="15" fillId="31" borderId="22" xfId="0" applyFont="1" applyFill="1" applyBorder="1" applyAlignment="1" applyProtection="1">
      <alignment horizontal="center" vertical="top" wrapText="1"/>
      <protection hidden="1"/>
    </xf>
    <xf numFmtId="0" fontId="15" fillId="49" borderId="10" xfId="0" applyFont="1" applyFill="1" applyBorder="1" applyAlignment="1" applyProtection="1">
      <alignment horizontal="center" vertical="top" wrapText="1"/>
      <protection locked="0" hidden="1"/>
    </xf>
    <xf numFmtId="0" fontId="15" fillId="49" borderId="22" xfId="0" applyFont="1" applyFill="1" applyBorder="1" applyAlignment="1" applyProtection="1">
      <alignment horizontal="center" vertical="top" wrapText="1"/>
      <protection locked="0" hidden="1"/>
    </xf>
    <xf numFmtId="0" fontId="13" fillId="25" borderId="10" xfId="0" applyFont="1" applyFill="1" applyBorder="1" applyAlignment="1" applyProtection="1">
      <alignment horizontal="center" vertical="top" wrapText="1"/>
      <protection locked="0"/>
    </xf>
    <xf numFmtId="0" fontId="15" fillId="45" borderId="12" xfId="0" applyFont="1" applyFill="1" applyBorder="1" applyAlignment="1" applyProtection="1">
      <alignment horizontal="center" vertical="top"/>
      <protection locked="0"/>
    </xf>
    <xf numFmtId="0" fontId="15" fillId="45" borderId="15" xfId="0" applyFont="1" applyFill="1" applyBorder="1" applyAlignment="1" applyProtection="1">
      <alignment horizontal="center" vertical="top"/>
      <protection locked="0"/>
    </xf>
    <xf numFmtId="0" fontId="15" fillId="45" borderId="11" xfId="0" applyFont="1" applyFill="1" applyBorder="1" applyAlignment="1" applyProtection="1">
      <alignment horizontal="center" vertical="top"/>
      <protection locked="0"/>
    </xf>
    <xf numFmtId="0" fontId="15" fillId="25" borderId="12" xfId="0" applyFont="1" applyFill="1" applyBorder="1" applyAlignment="1" applyProtection="1">
      <alignment horizontal="center" vertical="top"/>
      <protection locked="0"/>
    </xf>
    <xf numFmtId="0" fontId="15" fillId="25" borderId="15" xfId="0" applyFont="1" applyFill="1" applyBorder="1" applyAlignment="1" applyProtection="1">
      <alignment horizontal="center" vertical="top"/>
      <protection locked="0"/>
    </xf>
    <xf numFmtId="0" fontId="15" fillId="25" borderId="11" xfId="0" applyFont="1" applyFill="1" applyBorder="1" applyAlignment="1" applyProtection="1">
      <alignment horizontal="center" vertical="top"/>
      <protection locked="0"/>
    </xf>
    <xf numFmtId="0" fontId="15" fillId="31" borderId="12" xfId="0" applyFont="1" applyFill="1" applyBorder="1" applyAlignment="1" applyProtection="1">
      <alignment horizontal="center" vertical="top" wrapText="1"/>
      <protection hidden="1"/>
    </xf>
    <xf numFmtId="0" fontId="15" fillId="31" borderId="15" xfId="0" applyFont="1" applyFill="1" applyBorder="1" applyAlignment="1" applyProtection="1">
      <alignment horizontal="center" vertical="top" wrapText="1"/>
      <protection hidden="1"/>
    </xf>
    <xf numFmtId="0" fontId="15" fillId="31" borderId="11" xfId="0" applyFont="1" applyFill="1" applyBorder="1" applyAlignment="1" applyProtection="1">
      <alignment horizontal="center" vertical="top" wrapText="1"/>
      <protection hidden="1"/>
    </xf>
    <xf numFmtId="0" fontId="15" fillId="25" borderId="12" xfId="0" applyFont="1" applyFill="1" applyBorder="1" applyAlignment="1" applyProtection="1">
      <alignment horizontal="center" vertical="top" wrapText="1"/>
      <protection locked="0"/>
    </xf>
    <xf numFmtId="0" fontId="15" fillId="25" borderId="15" xfId="0" applyFont="1" applyFill="1" applyBorder="1" applyAlignment="1" applyProtection="1">
      <alignment horizontal="center" vertical="top" wrapText="1"/>
      <protection locked="0"/>
    </xf>
    <xf numFmtId="0" fontId="15" fillId="25" borderId="11" xfId="0" applyFont="1" applyFill="1" applyBorder="1" applyAlignment="1" applyProtection="1">
      <alignment horizontal="center" vertical="top" wrapText="1"/>
      <protection locked="0"/>
    </xf>
    <xf numFmtId="0" fontId="3" fillId="36" borderId="37" xfId="0" applyFont="1" applyFill="1" applyBorder="1" applyAlignment="1" applyProtection="1">
      <alignment horizontal="center" vertical="top" wrapText="1"/>
      <protection hidden="1"/>
    </xf>
    <xf numFmtId="0" fontId="11" fillId="36" borderId="25" xfId="0" applyFont="1" applyFill="1" applyBorder="1" applyAlignment="1" applyProtection="1">
      <alignment horizontal="center" vertical="top" wrapText="1"/>
      <protection hidden="1"/>
    </xf>
    <xf numFmtId="0" fontId="11" fillId="36" borderId="38" xfId="0" applyFont="1" applyFill="1" applyBorder="1" applyAlignment="1" applyProtection="1">
      <alignment horizontal="center" vertical="top" wrapText="1"/>
      <protection hidden="1"/>
    </xf>
    <xf numFmtId="0" fontId="3" fillId="49" borderId="16" xfId="0" applyFont="1" applyFill="1" applyBorder="1" applyAlignment="1" applyProtection="1">
      <alignment wrapText="1"/>
      <protection locked="0"/>
    </xf>
    <xf numFmtId="0" fontId="1" fillId="49" borderId="15" xfId="0" applyFont="1" applyFill="1" applyBorder="1" applyAlignment="1" applyProtection="1">
      <protection locked="0"/>
    </xf>
    <xf numFmtId="0" fontId="1" fillId="49" borderId="18" xfId="0" applyFont="1" applyFill="1" applyBorder="1" applyAlignment="1" applyProtection="1">
      <protection locked="0"/>
    </xf>
    <xf numFmtId="0" fontId="3" fillId="35" borderId="17" xfId="0" applyFont="1" applyFill="1" applyBorder="1" applyAlignment="1" applyProtection="1">
      <alignment horizontal="left" vertical="center"/>
      <protection hidden="1"/>
    </xf>
    <xf numFmtId="0" fontId="1" fillId="0" borderId="10" xfId="0" applyFont="1" applyBorder="1" applyAlignment="1" applyProtection="1">
      <alignment horizontal="left" vertical="center"/>
      <protection hidden="1"/>
    </xf>
    <xf numFmtId="0" fontId="1" fillId="0" borderId="13" xfId="0" applyFont="1" applyBorder="1" applyAlignment="1" applyProtection="1">
      <alignment horizontal="left" vertical="center"/>
      <protection hidden="1"/>
    </xf>
    <xf numFmtId="0" fontId="3" fillId="38" borderId="64" xfId="0" applyFont="1" applyFill="1" applyBorder="1" applyAlignment="1" applyProtection="1">
      <alignment horizontal="center" vertical="center" wrapText="1"/>
    </xf>
    <xf numFmtId="0" fontId="3" fillId="38" borderId="0" xfId="0" applyFont="1" applyFill="1" applyBorder="1" applyAlignment="1" applyProtection="1">
      <alignment horizontal="center" vertical="center"/>
    </xf>
    <xf numFmtId="0" fontId="3" fillId="38" borderId="52" xfId="0" applyFont="1" applyFill="1" applyBorder="1" applyAlignment="1" applyProtection="1">
      <alignment horizontal="center" vertical="center"/>
    </xf>
    <xf numFmtId="0" fontId="23" fillId="24" borderId="0" xfId="0" applyFont="1" applyFill="1" applyBorder="1" applyAlignment="1" applyProtection="1">
      <alignment horizontal="center" vertical="center"/>
      <protection hidden="1"/>
    </xf>
    <xf numFmtId="0" fontId="3" fillId="49" borderId="72" xfId="0" applyFont="1" applyFill="1" applyBorder="1" applyAlignment="1" applyProtection="1">
      <alignment horizontal="center" vertical="center" wrapText="1"/>
      <protection locked="0"/>
    </xf>
    <xf numFmtId="0" fontId="3" fillId="49" borderId="73" xfId="0" applyFont="1" applyFill="1" applyBorder="1" applyAlignment="1" applyProtection="1">
      <alignment horizontal="center" vertical="center" wrapText="1"/>
      <protection locked="0"/>
    </xf>
    <xf numFmtId="0" fontId="3" fillId="49" borderId="72" xfId="0" applyFont="1" applyFill="1" applyBorder="1" applyAlignment="1" applyProtection="1">
      <alignment horizontal="center" vertical="center" wrapText="1"/>
    </xf>
    <xf numFmtId="0" fontId="3" fillId="49" borderId="73" xfId="0" applyFont="1" applyFill="1" applyBorder="1" applyAlignment="1" applyProtection="1">
      <alignment horizontal="center" vertical="center" wrapText="1"/>
    </xf>
    <xf numFmtId="0" fontId="3" fillId="36" borderId="12" xfId="0" applyFont="1" applyFill="1" applyBorder="1" applyAlignment="1" applyProtection="1">
      <alignment horizontal="center" vertical="top" wrapText="1"/>
      <protection hidden="1"/>
    </xf>
    <xf numFmtId="0" fontId="3" fillId="36" borderId="15" xfId="0" applyFont="1" applyFill="1" applyBorder="1" applyAlignment="1" applyProtection="1">
      <alignment horizontal="center" vertical="top" wrapText="1"/>
      <protection hidden="1"/>
    </xf>
    <xf numFmtId="0" fontId="3" fillId="36" borderId="11" xfId="0" applyFont="1" applyFill="1" applyBorder="1" applyAlignment="1" applyProtection="1">
      <alignment horizontal="center" vertical="top" wrapText="1"/>
      <protection hidden="1"/>
    </xf>
    <xf numFmtId="0" fontId="15" fillId="36" borderId="12" xfId="0" applyFont="1" applyFill="1" applyBorder="1" applyAlignment="1" applyProtection="1">
      <alignment horizontal="center" vertical="top" wrapText="1"/>
      <protection hidden="1"/>
    </xf>
    <xf numFmtId="0" fontId="15" fillId="36" borderId="15" xfId="0" applyFont="1" applyFill="1" applyBorder="1" applyAlignment="1" applyProtection="1">
      <alignment horizontal="center" vertical="top" wrapText="1"/>
      <protection hidden="1"/>
    </xf>
    <xf numFmtId="0" fontId="3" fillId="35" borderId="10" xfId="0" applyFont="1" applyFill="1" applyBorder="1" applyAlignment="1" applyProtection="1">
      <alignment horizontal="center" vertical="top" wrapText="1"/>
      <protection hidden="1"/>
    </xf>
    <xf numFmtId="0" fontId="64" fillId="0" borderId="10" xfId="0" applyFont="1" applyFill="1" applyBorder="1" applyAlignment="1" applyProtection="1">
      <alignment horizontal="center" vertical="top" wrapText="1"/>
      <protection hidden="1"/>
    </xf>
    <xf numFmtId="0" fontId="1" fillId="31" borderId="12" xfId="0" applyFont="1" applyFill="1" applyBorder="1" applyAlignment="1" applyProtection="1">
      <alignment horizontal="center" vertical="top" wrapText="1"/>
      <protection hidden="1"/>
    </xf>
    <xf numFmtId="0" fontId="1" fillId="31" borderId="11" xfId="0" applyFont="1" applyFill="1" applyBorder="1" applyAlignment="1" applyProtection="1">
      <alignment horizontal="center" vertical="top" wrapText="1"/>
      <protection hidden="1"/>
    </xf>
    <xf numFmtId="0" fontId="0" fillId="0" borderId="12" xfId="0" applyBorder="1" applyAlignment="1" applyProtection="1">
      <alignment horizontal="center" vertical="top" wrapText="1"/>
      <protection hidden="1"/>
    </xf>
    <xf numFmtId="0" fontId="0" fillId="0" borderId="11" xfId="0" applyBorder="1" applyAlignment="1" applyProtection="1">
      <alignment horizontal="center" vertical="top" wrapText="1"/>
      <protection hidden="1"/>
    </xf>
    <xf numFmtId="0" fontId="3" fillId="35" borderId="20" xfId="0" applyFont="1" applyFill="1" applyBorder="1" applyAlignment="1" applyProtection="1">
      <alignment horizontal="center" vertical="top" wrapText="1"/>
      <protection hidden="1"/>
    </xf>
    <xf numFmtId="0" fontId="3" fillId="35" borderId="0" xfId="0" applyFont="1" applyFill="1" applyBorder="1" applyAlignment="1" applyProtection="1">
      <alignment horizontal="center" vertical="top" wrapText="1"/>
      <protection hidden="1"/>
    </xf>
    <xf numFmtId="0" fontId="3" fillId="30" borderId="19" xfId="0" applyFont="1" applyFill="1" applyBorder="1" applyAlignment="1" applyProtection="1">
      <alignment horizontal="center" vertical="top" wrapText="1"/>
      <protection hidden="1"/>
    </xf>
    <xf numFmtId="0" fontId="3" fillId="30" borderId="26" xfId="0" applyFont="1" applyFill="1" applyBorder="1" applyAlignment="1" applyProtection="1">
      <alignment horizontal="center" vertical="top" wrapText="1"/>
      <protection hidden="1"/>
    </xf>
    <xf numFmtId="0" fontId="15" fillId="25" borderId="19" xfId="0" applyFont="1" applyFill="1" applyBorder="1" applyAlignment="1" applyProtection="1">
      <alignment horizontal="center"/>
      <protection locked="0"/>
    </xf>
    <xf numFmtId="0" fontId="15" fillId="25" borderId="26" xfId="0" applyFont="1" applyFill="1" applyBorder="1" applyAlignment="1" applyProtection="1">
      <alignment horizontal="center"/>
      <protection locked="0"/>
    </xf>
    <xf numFmtId="0" fontId="15" fillId="25" borderId="20" xfId="0" applyFont="1" applyFill="1" applyBorder="1" applyAlignment="1" applyProtection="1">
      <alignment horizontal="center"/>
      <protection locked="0"/>
    </xf>
    <xf numFmtId="0" fontId="15" fillId="25" borderId="0" xfId="0" applyFont="1" applyFill="1" applyBorder="1" applyAlignment="1" applyProtection="1">
      <alignment horizontal="center"/>
      <protection locked="0"/>
    </xf>
    <xf numFmtId="0" fontId="15" fillId="25" borderId="28" xfId="0" applyFont="1" applyFill="1" applyBorder="1" applyAlignment="1" applyProtection="1">
      <alignment horizontal="center"/>
      <protection locked="0"/>
    </xf>
    <xf numFmtId="0" fontId="15" fillId="25" borderId="27" xfId="0" applyFont="1" applyFill="1" applyBorder="1" applyAlignment="1" applyProtection="1">
      <alignment horizontal="center"/>
      <protection locked="0"/>
    </xf>
    <xf numFmtId="0" fontId="0" fillId="0" borderId="10" xfId="0" applyBorder="1" applyAlignment="1" applyProtection="1">
      <alignment horizontal="center"/>
      <protection hidden="1"/>
    </xf>
    <xf numFmtId="0" fontId="5" fillId="24" borderId="0" xfId="0" applyFont="1" applyFill="1" applyBorder="1" applyAlignment="1" applyProtection="1">
      <alignment horizontal="left" vertical="top" wrapText="1"/>
      <protection hidden="1"/>
    </xf>
    <xf numFmtId="0" fontId="4" fillId="0" borderId="19" xfId="0" applyFont="1" applyBorder="1" applyAlignment="1" applyProtection="1">
      <alignment horizontal="center"/>
      <protection hidden="1"/>
    </xf>
    <xf numFmtId="0" fontId="4" fillId="0" borderId="21" xfId="0" applyFont="1" applyBorder="1" applyAlignment="1" applyProtection="1">
      <alignment horizontal="center"/>
      <protection hidden="1"/>
    </xf>
    <xf numFmtId="0" fontId="4" fillId="0" borderId="20" xfId="0" applyFont="1" applyBorder="1" applyAlignment="1" applyProtection="1">
      <alignment horizontal="center"/>
      <protection hidden="1"/>
    </xf>
    <xf numFmtId="0" fontId="4" fillId="0" borderId="30" xfId="0" applyFont="1" applyBorder="1" applyAlignment="1" applyProtection="1">
      <alignment horizontal="center"/>
      <protection hidden="1"/>
    </xf>
    <xf numFmtId="0" fontId="4" fillId="0" borderId="28" xfId="0" applyFont="1" applyBorder="1" applyAlignment="1" applyProtection="1">
      <alignment horizontal="center"/>
      <protection hidden="1"/>
    </xf>
    <xf numFmtId="0" fontId="4" fillId="0" borderId="29" xfId="0" applyFont="1" applyBorder="1" applyAlignment="1" applyProtection="1">
      <alignment horizontal="center"/>
      <protection hidden="1"/>
    </xf>
    <xf numFmtId="0" fontId="15" fillId="25" borderId="10" xfId="0" applyFont="1" applyFill="1" applyBorder="1" applyAlignment="1" applyProtection="1">
      <alignment horizontal="center"/>
      <protection locked="0"/>
    </xf>
    <xf numFmtId="0" fontId="3" fillId="35" borderId="10" xfId="0" applyFont="1" applyFill="1" applyBorder="1" applyAlignment="1" applyProtection="1">
      <alignment horizontal="center" vertical="top"/>
      <protection hidden="1"/>
    </xf>
    <xf numFmtId="0" fontId="0" fillId="24" borderId="12" xfId="0" applyFill="1" applyBorder="1" applyAlignment="1" applyProtection="1">
      <alignment horizontal="center"/>
      <protection hidden="1"/>
    </xf>
    <xf numFmtId="0" fontId="0" fillId="24" borderId="15" xfId="0" applyFill="1" applyBorder="1" applyAlignment="1" applyProtection="1">
      <alignment horizontal="center"/>
      <protection hidden="1"/>
    </xf>
    <xf numFmtId="0" fontId="0" fillId="24" borderId="11" xfId="0" applyFill="1" applyBorder="1" applyAlignment="1" applyProtection="1">
      <alignment horizontal="center"/>
      <protection hidden="1"/>
    </xf>
    <xf numFmtId="0" fontId="1" fillId="0" borderId="10" xfId="0" applyFont="1" applyBorder="1" applyAlignment="1" applyProtection="1">
      <alignment horizontal="center"/>
      <protection hidden="1"/>
    </xf>
    <xf numFmtId="0" fontId="3" fillId="28" borderId="19" xfId="0" applyFont="1" applyFill="1" applyBorder="1" applyAlignment="1" applyProtection="1">
      <alignment horizontal="center" vertical="top" wrapText="1"/>
      <protection hidden="1"/>
    </xf>
    <xf numFmtId="0" fontId="3" fillId="28" borderId="28" xfId="0" applyFont="1" applyFill="1" applyBorder="1" applyAlignment="1" applyProtection="1">
      <alignment horizontal="center" vertical="top" wrapText="1"/>
      <protection hidden="1"/>
    </xf>
    <xf numFmtId="0" fontId="15" fillId="46" borderId="12" xfId="0" applyFont="1" applyFill="1" applyBorder="1" applyAlignment="1" applyProtection="1">
      <alignment horizontal="center" vertical="top" wrapText="1"/>
      <protection hidden="1"/>
    </xf>
    <xf numFmtId="0" fontId="15" fillId="46" borderId="15" xfId="0" applyFont="1" applyFill="1" applyBorder="1" applyAlignment="1" applyProtection="1">
      <alignment horizontal="center" vertical="top" wrapText="1"/>
      <protection hidden="1"/>
    </xf>
    <xf numFmtId="0" fontId="15" fillId="46" borderId="11" xfId="0" applyFont="1" applyFill="1" applyBorder="1" applyAlignment="1" applyProtection="1">
      <alignment horizontal="center" vertical="top" wrapText="1"/>
      <protection hidden="1"/>
    </xf>
    <xf numFmtId="0" fontId="15" fillId="36" borderId="11" xfId="0" applyFont="1" applyFill="1" applyBorder="1" applyAlignment="1" applyProtection="1">
      <alignment horizontal="center" vertical="top" wrapText="1"/>
      <protection hidden="1"/>
    </xf>
    <xf numFmtId="165" fontId="3" fillId="35" borderId="19" xfId="0" applyNumberFormat="1" applyFont="1" applyFill="1" applyBorder="1" applyAlignment="1" applyProtection="1">
      <alignment horizontal="center" vertical="center"/>
      <protection hidden="1"/>
    </xf>
    <xf numFmtId="0" fontId="0" fillId="0" borderId="21" xfId="0"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0" fillId="0" borderId="29" xfId="0" applyBorder="1" applyAlignment="1" applyProtection="1">
      <alignment horizontal="center" vertical="center"/>
      <protection hidden="1"/>
    </xf>
    <xf numFmtId="0" fontId="3" fillId="28" borderId="21" xfId="0" applyFont="1" applyFill="1" applyBorder="1" applyAlignment="1" applyProtection="1">
      <alignment horizontal="center" vertical="top" wrapText="1"/>
      <protection hidden="1"/>
    </xf>
    <xf numFmtId="0" fontId="3" fillId="28" borderId="29" xfId="0" applyFont="1" applyFill="1" applyBorder="1" applyAlignment="1" applyProtection="1">
      <alignment horizontal="center" vertical="top" wrapText="1"/>
      <protection hidden="1"/>
    </xf>
    <xf numFmtId="0" fontId="64" fillId="0" borderId="10" xfId="0" applyFont="1" applyBorder="1" applyAlignment="1" applyProtection="1">
      <alignment horizontal="center" vertical="top" wrapText="1"/>
      <protection hidden="1"/>
    </xf>
    <xf numFmtId="0" fontId="4" fillId="0" borderId="10" xfId="0" applyFont="1" applyBorder="1" applyAlignment="1" applyProtection="1">
      <alignment horizontal="center" wrapText="1"/>
      <protection hidden="1"/>
    </xf>
    <xf numFmtId="0" fontId="1" fillId="0" borderId="19" xfId="0" applyFont="1" applyFill="1" applyBorder="1" applyAlignment="1" applyProtection="1">
      <alignment horizontal="center" vertical="top" wrapText="1"/>
      <protection hidden="1"/>
    </xf>
    <xf numFmtId="0" fontId="1" fillId="0" borderId="26" xfId="0" applyFont="1" applyFill="1" applyBorder="1" applyAlignment="1" applyProtection="1">
      <alignment horizontal="center" vertical="top"/>
      <protection hidden="1"/>
    </xf>
    <xf numFmtId="0" fontId="1" fillId="0" borderId="21" xfId="0" applyFont="1" applyFill="1" applyBorder="1" applyAlignment="1" applyProtection="1">
      <alignment horizontal="center" vertical="top"/>
      <protection hidden="1"/>
    </xf>
    <xf numFmtId="0" fontId="1" fillId="0" borderId="28" xfId="0" applyFont="1" applyFill="1" applyBorder="1" applyAlignment="1" applyProtection="1">
      <alignment horizontal="center" vertical="top"/>
      <protection hidden="1"/>
    </xf>
    <xf numFmtId="0" fontId="1" fillId="0" borderId="27" xfId="0" applyFont="1" applyFill="1" applyBorder="1" applyAlignment="1" applyProtection="1">
      <alignment horizontal="center" vertical="top"/>
      <protection hidden="1"/>
    </xf>
    <xf numFmtId="0" fontId="1" fillId="0" borderId="29" xfId="0" applyFont="1" applyFill="1" applyBorder="1" applyAlignment="1" applyProtection="1">
      <alignment horizontal="center" vertical="top"/>
      <protection hidden="1"/>
    </xf>
    <xf numFmtId="0" fontId="2" fillId="0" borderId="22" xfId="0" applyFont="1" applyFill="1" applyBorder="1" applyAlignment="1" applyProtection="1">
      <alignment horizontal="left"/>
      <protection hidden="1"/>
    </xf>
    <xf numFmtId="0" fontId="4" fillId="0" borderId="12" xfId="0" applyFont="1" applyFill="1" applyBorder="1" applyAlignment="1" applyProtection="1">
      <alignment horizontal="left"/>
      <protection hidden="1"/>
    </xf>
    <xf numFmtId="0" fontId="4" fillId="0" borderId="11" xfId="0" applyFont="1" applyFill="1" applyBorder="1" applyAlignment="1" applyProtection="1">
      <alignment horizontal="left"/>
      <protection hidden="1"/>
    </xf>
    <xf numFmtId="0" fontId="3" fillId="35" borderId="19" xfId="0" applyFont="1" applyFill="1" applyBorder="1" applyAlignment="1" applyProtection="1">
      <alignment horizontal="center" vertical="center"/>
      <protection hidden="1"/>
    </xf>
    <xf numFmtId="0" fontId="3" fillId="35" borderId="28" xfId="0" applyFont="1" applyFill="1" applyBorder="1" applyAlignment="1" applyProtection="1">
      <alignment horizontal="center" vertical="center"/>
      <protection hidden="1"/>
    </xf>
    <xf numFmtId="0" fontId="3" fillId="47" borderId="19" xfId="0" applyFont="1" applyFill="1" applyBorder="1" applyAlignment="1" applyProtection="1">
      <alignment horizontal="center" vertical="center" wrapText="1"/>
      <protection hidden="1"/>
    </xf>
    <xf numFmtId="0" fontId="3" fillId="47" borderId="26" xfId="0" applyFont="1" applyFill="1" applyBorder="1" applyAlignment="1" applyProtection="1">
      <alignment horizontal="center" vertical="center" wrapText="1"/>
      <protection hidden="1"/>
    </xf>
    <xf numFmtId="0" fontId="3" fillId="47" borderId="21" xfId="0" applyFont="1" applyFill="1" applyBorder="1" applyAlignment="1" applyProtection="1">
      <alignment horizontal="center" vertical="center" wrapText="1"/>
      <protection hidden="1"/>
    </xf>
    <xf numFmtId="0" fontId="3" fillId="47" borderId="28" xfId="0" applyFont="1" applyFill="1" applyBorder="1" applyAlignment="1" applyProtection="1">
      <alignment horizontal="center" vertical="center" wrapText="1"/>
      <protection hidden="1"/>
    </xf>
    <xf numFmtId="0" fontId="3" fillId="47" borderId="27" xfId="0" applyFont="1" applyFill="1" applyBorder="1" applyAlignment="1" applyProtection="1">
      <alignment horizontal="center" vertical="center" wrapText="1"/>
      <protection hidden="1"/>
    </xf>
    <xf numFmtId="0" fontId="3" fillId="47" borderId="29" xfId="0" applyFont="1" applyFill="1" applyBorder="1" applyAlignment="1" applyProtection="1">
      <alignment horizontal="center" vertical="center" wrapText="1"/>
      <protection hidden="1"/>
    </xf>
    <xf numFmtId="0" fontId="3" fillId="30" borderId="10" xfId="0" applyFont="1" applyFill="1" applyBorder="1" applyAlignment="1" applyProtection="1">
      <alignment horizontal="center" vertical="top" wrapText="1"/>
      <protection hidden="1"/>
    </xf>
    <xf numFmtId="0" fontId="1" fillId="31" borderId="10" xfId="0" applyFont="1" applyFill="1" applyBorder="1" applyAlignment="1" applyProtection="1">
      <alignment horizontal="center" vertical="top" wrapText="1"/>
      <protection hidden="1"/>
    </xf>
    <xf numFmtId="0" fontId="13" fillId="28" borderId="12" xfId="0" applyFont="1" applyFill="1" applyBorder="1" applyAlignment="1" applyProtection="1">
      <alignment horizontal="left" vertical="center"/>
      <protection hidden="1"/>
    </xf>
    <xf numFmtId="0" fontId="13" fillId="28" borderId="15" xfId="0" applyFont="1" applyFill="1" applyBorder="1" applyAlignment="1" applyProtection="1">
      <alignment horizontal="left" vertical="center"/>
      <protection hidden="1"/>
    </xf>
    <xf numFmtId="0" fontId="13" fillId="28" borderId="11" xfId="0" applyFont="1" applyFill="1" applyBorder="1" applyAlignment="1" applyProtection="1">
      <alignment horizontal="left" vertical="center"/>
      <protection hidden="1"/>
    </xf>
    <xf numFmtId="0" fontId="15" fillId="28" borderId="28" xfId="0" applyFont="1" applyFill="1" applyBorder="1" applyAlignment="1" applyProtection="1">
      <alignment horizontal="center"/>
      <protection hidden="1"/>
    </xf>
    <xf numFmtId="0" fontId="15" fillId="28" borderId="27" xfId="0" applyFont="1" applyFill="1" applyBorder="1" applyAlignment="1" applyProtection="1">
      <alignment horizontal="center"/>
      <protection hidden="1"/>
    </xf>
    <xf numFmtId="0" fontId="3" fillId="47" borderId="22" xfId="0" applyFont="1" applyFill="1" applyBorder="1" applyAlignment="1" applyProtection="1">
      <alignment horizontal="center" vertical="center" wrapText="1"/>
      <protection hidden="1"/>
    </xf>
    <xf numFmtId="0" fontId="3" fillId="47" borderId="25" xfId="0" applyFont="1" applyFill="1" applyBorder="1" applyAlignment="1" applyProtection="1">
      <alignment horizontal="center" vertical="center" wrapText="1"/>
      <protection hidden="1"/>
    </xf>
    <xf numFmtId="0" fontId="3" fillId="47" borderId="25" xfId="0" applyFont="1" applyFill="1" applyBorder="1" applyAlignment="1" applyProtection="1">
      <alignment horizontal="center" vertical="center"/>
      <protection hidden="1"/>
    </xf>
    <xf numFmtId="0" fontId="3" fillId="50" borderId="12" xfId="0" applyFont="1" applyFill="1" applyBorder="1" applyAlignment="1" applyProtection="1">
      <alignment horizontal="center" vertical="center" wrapText="1"/>
      <protection hidden="1"/>
    </xf>
    <xf numFmtId="0" fontId="3" fillId="50" borderId="15" xfId="0" applyFont="1" applyFill="1" applyBorder="1" applyAlignment="1" applyProtection="1">
      <alignment horizontal="center" vertical="center" wrapText="1"/>
      <protection hidden="1"/>
    </xf>
    <xf numFmtId="0" fontId="3" fillId="50" borderId="11" xfId="0" applyFont="1" applyFill="1" applyBorder="1" applyAlignment="1" applyProtection="1">
      <alignment horizontal="center" vertical="center" wrapText="1"/>
      <protection hidden="1"/>
    </xf>
    <xf numFmtId="0" fontId="3" fillId="47" borderId="22" xfId="0" applyFont="1" applyFill="1" applyBorder="1" applyAlignment="1" applyProtection="1">
      <alignment horizontal="center" vertical="center"/>
      <protection hidden="1"/>
    </xf>
    <xf numFmtId="0" fontId="3" fillId="0" borderId="0" xfId="0" applyFont="1" applyFill="1" applyBorder="1" applyAlignment="1" applyProtection="1">
      <alignment horizontal="center" wrapText="1"/>
      <protection hidden="1"/>
    </xf>
    <xf numFmtId="0" fontId="1" fillId="45" borderId="10" xfId="0" applyFont="1" applyFill="1" applyBorder="1" applyAlignment="1" applyProtection="1">
      <alignment horizontal="center"/>
      <protection locked="0"/>
    </xf>
    <xf numFmtId="49" fontId="3" fillId="25" borderId="12" xfId="0" applyNumberFormat="1" applyFont="1" applyFill="1" applyBorder="1" applyAlignment="1" applyProtection="1">
      <alignment horizontal="center" vertical="center"/>
      <protection locked="0"/>
    </xf>
    <xf numFmtId="49" fontId="3" fillId="25" borderId="11" xfId="0" applyNumberFormat="1" applyFont="1" applyFill="1" applyBorder="1" applyAlignment="1" applyProtection="1">
      <alignment horizontal="center" vertical="center"/>
      <protection locked="0"/>
    </xf>
    <xf numFmtId="0" fontId="3" fillId="28" borderId="12" xfId="0" applyFont="1" applyFill="1" applyBorder="1" applyAlignment="1" applyProtection="1">
      <alignment horizontal="center" vertical="center" wrapText="1"/>
      <protection hidden="1"/>
    </xf>
    <xf numFmtId="0" fontId="3" fillId="28" borderId="29" xfId="0" applyFont="1" applyFill="1" applyBorder="1" applyAlignment="1" applyProtection="1">
      <alignment horizontal="center" vertical="center" wrapText="1"/>
      <protection hidden="1"/>
    </xf>
    <xf numFmtId="0" fontId="85" fillId="44" borderId="15" xfId="0" applyFont="1" applyFill="1" applyBorder="1" applyAlignment="1" applyProtection="1">
      <alignment horizontal="center" vertical="center"/>
      <protection hidden="1"/>
    </xf>
    <xf numFmtId="0" fontId="85" fillId="44" borderId="11" xfId="0" applyFont="1" applyFill="1" applyBorder="1" applyAlignment="1" applyProtection="1">
      <alignment horizontal="center" vertical="center"/>
      <protection hidden="1"/>
    </xf>
    <xf numFmtId="0" fontId="1" fillId="45" borderId="22" xfId="0" applyFont="1" applyFill="1" applyBorder="1" applyAlignment="1" applyProtection="1">
      <alignment horizontal="center"/>
      <protection locked="0"/>
    </xf>
    <xf numFmtId="0" fontId="3" fillId="47" borderId="12" xfId="0" applyFont="1" applyFill="1" applyBorder="1" applyAlignment="1" applyProtection="1">
      <alignment horizontal="center" vertical="center" wrapText="1"/>
      <protection hidden="1"/>
    </xf>
    <xf numFmtId="0" fontId="3" fillId="47" borderId="15" xfId="0" applyFont="1" applyFill="1" applyBorder="1" applyAlignment="1" applyProtection="1">
      <alignment horizontal="center" vertical="center" wrapText="1"/>
      <protection hidden="1"/>
    </xf>
    <xf numFmtId="0" fontId="3" fillId="47" borderId="11" xfId="0" applyFont="1" applyFill="1" applyBorder="1" applyAlignment="1" applyProtection="1">
      <alignment horizontal="center" vertical="center" wrapText="1"/>
      <protection hidden="1"/>
    </xf>
    <xf numFmtId="0" fontId="16" fillId="49" borderId="10" xfId="0" applyFont="1" applyFill="1" applyBorder="1" applyAlignment="1" applyProtection="1">
      <alignment horizontal="center"/>
      <protection locked="0" hidden="1"/>
    </xf>
    <xf numFmtId="0" fontId="57" fillId="42" borderId="0" xfId="0" applyFont="1" applyFill="1" applyBorder="1" applyAlignment="1" applyProtection="1">
      <alignment horizontal="left"/>
      <protection hidden="1"/>
    </xf>
    <xf numFmtId="0" fontId="3" fillId="49" borderId="25" xfId="0" applyFont="1" applyFill="1" applyBorder="1" applyAlignment="1" applyProtection="1">
      <alignment horizontal="center"/>
      <protection locked="0" hidden="1"/>
    </xf>
    <xf numFmtId="0" fontId="3" fillId="49" borderId="10" xfId="0" applyFont="1" applyFill="1" applyBorder="1" applyAlignment="1" applyProtection="1">
      <alignment horizontal="center"/>
      <protection locked="0" hidden="1"/>
    </xf>
    <xf numFmtId="0" fontId="3" fillId="0" borderId="0" xfId="0" applyFont="1" applyFill="1" applyBorder="1" applyAlignment="1" applyProtection="1">
      <alignment horizontal="center"/>
      <protection hidden="1"/>
    </xf>
    <xf numFmtId="0" fontId="82" fillId="0" borderId="0" xfId="0" applyFont="1" applyFill="1" applyBorder="1" applyAlignment="1" applyProtection="1">
      <alignment horizontal="center"/>
      <protection hidden="1"/>
    </xf>
    <xf numFmtId="0" fontId="82" fillId="0" borderId="0" xfId="0" applyFont="1" applyFill="1" applyBorder="1" applyAlignment="1" applyProtection="1">
      <alignment horizontal="center" vertical="top"/>
      <protection hidden="1"/>
    </xf>
    <xf numFmtId="0" fontId="0" fillId="0" borderId="22"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3" fillId="27" borderId="10" xfId="0" applyFont="1" applyFill="1" applyBorder="1" applyAlignment="1" applyProtection="1">
      <alignment horizontal="center"/>
      <protection hidden="1"/>
    </xf>
    <xf numFmtId="0" fontId="51" fillId="28" borderId="54" xfId="0" applyFont="1" applyFill="1" applyBorder="1" applyAlignment="1" applyProtection="1">
      <alignment horizontal="center"/>
      <protection hidden="1"/>
    </xf>
    <xf numFmtId="0" fontId="51" fillId="28" borderId="55" xfId="0" applyFont="1" applyFill="1" applyBorder="1" applyAlignment="1" applyProtection="1">
      <alignment horizontal="center"/>
      <protection hidden="1"/>
    </xf>
    <xf numFmtId="0" fontId="51" fillId="28" borderId="56" xfId="0" applyFont="1" applyFill="1" applyBorder="1" applyAlignment="1" applyProtection="1">
      <alignment horizontal="center"/>
      <protection hidden="1"/>
    </xf>
    <xf numFmtId="49" fontId="3" fillId="25" borderId="12" xfId="0" applyNumberFormat="1" applyFont="1" applyFill="1" applyBorder="1" applyAlignment="1" applyProtection="1">
      <alignment horizontal="center" vertical="center"/>
    </xf>
    <xf numFmtId="49" fontId="3" fillId="25" borderId="11" xfId="0" applyNumberFormat="1" applyFont="1" applyFill="1" applyBorder="1" applyAlignment="1" applyProtection="1">
      <alignment horizontal="center" vertical="center"/>
    </xf>
    <xf numFmtId="0" fontId="3" fillId="35" borderId="28" xfId="0" applyFont="1" applyFill="1" applyBorder="1" applyAlignment="1" applyProtection="1">
      <alignment horizontal="center" vertical="top" wrapText="1"/>
      <protection hidden="1"/>
    </xf>
    <xf numFmtId="0" fontId="3" fillId="35" borderId="29" xfId="0" applyFont="1" applyFill="1" applyBorder="1" applyAlignment="1" applyProtection="1">
      <alignment horizontal="center" vertical="top" wrapText="1"/>
      <protection hidden="1"/>
    </xf>
    <xf numFmtId="49" fontId="3" fillId="42" borderId="12" xfId="0" applyNumberFormat="1" applyFont="1" applyFill="1" applyBorder="1" applyAlignment="1" applyProtection="1">
      <alignment horizontal="center" vertical="center"/>
      <protection locked="0"/>
    </xf>
    <xf numFmtId="49" fontId="3" fillId="42" borderId="11" xfId="0" applyNumberFormat="1" applyFont="1" applyFill="1" applyBorder="1" applyAlignment="1" applyProtection="1">
      <alignment horizontal="center" vertic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165" fontId="13" fillId="33" borderId="19" xfId="0" applyNumberFormat="1" applyFont="1" applyFill="1" applyBorder="1" applyAlignment="1" applyProtection="1">
      <alignment horizontal="center"/>
      <protection hidden="1"/>
    </xf>
    <xf numFmtId="165" fontId="13" fillId="33" borderId="26" xfId="0" applyNumberFormat="1" applyFont="1" applyFill="1" applyBorder="1" applyAlignment="1" applyProtection="1">
      <alignment horizontal="center"/>
      <protection hidden="1"/>
    </xf>
    <xf numFmtId="165" fontId="13" fillId="33" borderId="21" xfId="0" applyNumberFormat="1" applyFont="1" applyFill="1" applyBorder="1" applyAlignment="1" applyProtection="1">
      <alignment horizontal="center"/>
      <protection hidden="1"/>
    </xf>
    <xf numFmtId="165" fontId="13" fillId="33" borderId="28" xfId="0" applyNumberFormat="1" applyFont="1" applyFill="1" applyBorder="1" applyAlignment="1" applyProtection="1">
      <alignment horizontal="center"/>
      <protection hidden="1"/>
    </xf>
    <xf numFmtId="165" fontId="13" fillId="33" borderId="27" xfId="0" applyNumberFormat="1" applyFont="1" applyFill="1" applyBorder="1" applyAlignment="1" applyProtection="1">
      <alignment horizontal="center"/>
      <protection hidden="1"/>
    </xf>
    <xf numFmtId="165" fontId="13" fillId="33" borderId="29" xfId="0" applyNumberFormat="1" applyFont="1" applyFill="1" applyBorder="1" applyAlignment="1" applyProtection="1">
      <alignment horizontal="center"/>
      <protection hidden="1"/>
    </xf>
    <xf numFmtId="0" fontId="15" fillId="25" borderId="10" xfId="0" applyFont="1" applyFill="1" applyBorder="1" applyAlignment="1" applyProtection="1">
      <alignment horizontal="center" vertical="center"/>
      <protection locked="0" hidden="1"/>
    </xf>
    <xf numFmtId="0" fontId="15" fillId="25" borderId="10" xfId="0" applyFont="1" applyFill="1" applyBorder="1" applyAlignment="1" applyProtection="1">
      <alignment horizontal="center" vertical="top" wrapText="1"/>
      <protection locked="0" hidden="1"/>
    </xf>
    <xf numFmtId="0" fontId="21" fillId="33" borderId="0" xfId="0" applyFont="1" applyFill="1" applyBorder="1" applyAlignment="1" applyProtection="1">
      <alignment horizontal="center"/>
      <protection hidden="1"/>
    </xf>
    <xf numFmtId="0" fontId="16" fillId="25" borderId="10" xfId="0" applyFont="1" applyFill="1" applyBorder="1" applyAlignment="1" applyProtection="1">
      <alignment horizontal="center"/>
      <protection locked="0" hidden="1"/>
    </xf>
    <xf numFmtId="0" fontId="16" fillId="0" borderId="12" xfId="0" applyFont="1" applyBorder="1" applyAlignment="1" applyProtection="1">
      <alignment horizontal="left"/>
      <protection hidden="1"/>
    </xf>
    <xf numFmtId="0" fontId="16" fillId="0" borderId="15" xfId="0" applyFont="1" applyBorder="1" applyAlignment="1" applyProtection="1">
      <alignment horizontal="left"/>
      <protection hidden="1"/>
    </xf>
    <xf numFmtId="0" fontId="16" fillId="0" borderId="11" xfId="0" applyFont="1" applyBorder="1" applyAlignment="1" applyProtection="1">
      <alignment horizontal="left"/>
      <protection hidden="1"/>
    </xf>
    <xf numFmtId="0" fontId="16" fillId="0" borderId="12" xfId="0" applyFont="1" applyFill="1" applyBorder="1" applyAlignment="1" applyProtection="1">
      <alignment horizontal="left"/>
      <protection hidden="1"/>
    </xf>
    <xf numFmtId="0" fontId="16" fillId="0" borderId="15" xfId="0" applyFont="1" applyFill="1" applyBorder="1" applyAlignment="1" applyProtection="1">
      <alignment horizontal="left"/>
      <protection hidden="1"/>
    </xf>
    <xf numFmtId="0" fontId="16" fillId="0" borderId="11" xfId="0" applyFont="1" applyFill="1" applyBorder="1" applyAlignment="1" applyProtection="1">
      <alignment horizontal="left"/>
      <protection hidden="1"/>
    </xf>
    <xf numFmtId="0" fontId="15" fillId="39" borderId="12" xfId="0" applyFont="1" applyFill="1" applyBorder="1" applyAlignment="1" applyProtection="1">
      <alignment horizontal="center"/>
      <protection hidden="1"/>
    </xf>
    <xf numFmtId="0" fontId="15" fillId="39" borderId="15" xfId="0" applyFont="1" applyFill="1" applyBorder="1" applyAlignment="1" applyProtection="1">
      <alignment horizontal="center"/>
      <protection hidden="1"/>
    </xf>
    <xf numFmtId="0" fontId="15" fillId="39" borderId="11" xfId="0" applyFont="1" applyFill="1" applyBorder="1" applyAlignment="1" applyProtection="1">
      <alignment horizontal="center"/>
      <protection hidden="1"/>
    </xf>
    <xf numFmtId="0" fontId="17" fillId="28" borderId="10" xfId="0" applyFont="1" applyFill="1" applyBorder="1" applyAlignment="1" applyProtection="1">
      <alignment horizontal="center" wrapText="1"/>
      <protection hidden="1"/>
    </xf>
    <xf numFmtId="0" fontId="21" fillId="33" borderId="0" xfId="0" applyFont="1" applyFill="1" applyBorder="1" applyAlignment="1" applyProtection="1">
      <alignment horizontal="center" vertical="center"/>
      <protection hidden="1"/>
    </xf>
    <xf numFmtId="0" fontId="15" fillId="35" borderId="12" xfId="0" applyFont="1" applyFill="1" applyBorder="1" applyAlignment="1" applyProtection="1">
      <alignment horizontal="center"/>
      <protection hidden="1"/>
    </xf>
    <xf numFmtId="0" fontId="15" fillId="35" borderId="15" xfId="0" applyFont="1" applyFill="1" applyBorder="1" applyAlignment="1" applyProtection="1">
      <alignment horizontal="center"/>
      <protection hidden="1"/>
    </xf>
    <xf numFmtId="0" fontId="15" fillId="35" borderId="11" xfId="0" applyFont="1" applyFill="1" applyBorder="1" applyAlignment="1" applyProtection="1">
      <alignment horizontal="center"/>
      <protection hidden="1"/>
    </xf>
    <xf numFmtId="0" fontId="13" fillId="28" borderId="12" xfId="0" applyFont="1" applyFill="1" applyBorder="1" applyAlignment="1" applyProtection="1">
      <alignment horizontal="left"/>
      <protection hidden="1"/>
    </xf>
    <xf numFmtId="0" fontId="13" fillId="28" borderId="15" xfId="0" applyFont="1" applyFill="1" applyBorder="1" applyAlignment="1" applyProtection="1">
      <alignment horizontal="left"/>
      <protection hidden="1"/>
    </xf>
    <xf numFmtId="0" fontId="13" fillId="28" borderId="11" xfId="0" applyFont="1" applyFill="1" applyBorder="1" applyAlignment="1" applyProtection="1">
      <alignment horizontal="left"/>
      <protection hidden="1"/>
    </xf>
    <xf numFmtId="0" fontId="15" fillId="39" borderId="42" xfId="0" applyFont="1" applyFill="1" applyBorder="1" applyAlignment="1" applyProtection="1">
      <alignment horizontal="center" vertical="top" wrapText="1"/>
      <protection hidden="1"/>
    </xf>
    <xf numFmtId="0" fontId="15" fillId="39" borderId="43" xfId="0" applyFont="1" applyFill="1" applyBorder="1" applyAlignment="1" applyProtection="1">
      <alignment horizontal="center" vertical="top" wrapText="1"/>
      <protection hidden="1"/>
    </xf>
    <xf numFmtId="0" fontId="15" fillId="39" borderId="44" xfId="0" applyFont="1" applyFill="1" applyBorder="1" applyAlignment="1" applyProtection="1">
      <alignment horizontal="center" vertical="top" wrapText="1"/>
      <protection hidden="1"/>
    </xf>
    <xf numFmtId="0" fontId="15" fillId="35" borderId="10" xfId="0" applyFont="1" applyFill="1" applyBorder="1" applyAlignment="1" applyProtection="1">
      <alignment horizontal="center" vertical="top" wrapText="1"/>
      <protection hidden="1"/>
    </xf>
    <xf numFmtId="0" fontId="16" fillId="25" borderId="10" xfId="0" applyFont="1" applyFill="1" applyBorder="1" applyAlignment="1" applyProtection="1">
      <alignment horizontal="center" vertical="top"/>
      <protection locked="0" hidden="1"/>
    </xf>
    <xf numFmtId="0" fontId="16" fillId="25" borderId="10" xfId="0" applyFont="1" applyFill="1" applyBorder="1" applyAlignment="1" applyProtection="1">
      <alignment horizontal="center" wrapText="1"/>
      <protection locked="0" hidden="1"/>
    </xf>
    <xf numFmtId="0" fontId="15" fillId="35" borderId="10" xfId="0" applyFont="1" applyFill="1" applyBorder="1" applyAlignment="1" applyProtection="1">
      <alignment horizontal="center" vertical="top"/>
      <protection hidden="1"/>
    </xf>
    <xf numFmtId="0" fontId="13" fillId="28" borderId="10" xfId="0" applyFont="1" applyFill="1" applyBorder="1" applyAlignment="1" applyProtection="1">
      <alignment horizontal="center"/>
      <protection hidden="1"/>
    </xf>
    <xf numFmtId="0" fontId="15" fillId="0" borderId="10" xfId="0" applyFont="1" applyFill="1" applyBorder="1" applyAlignment="1" applyProtection="1">
      <alignment horizontal="center" vertical="top" wrapText="1"/>
      <protection hidden="1"/>
    </xf>
    <xf numFmtId="0" fontId="17" fillId="0" borderId="10" xfId="0" applyFont="1" applyFill="1" applyBorder="1" applyAlignment="1" applyProtection="1">
      <alignment horizontal="center" vertical="top" wrapText="1"/>
      <protection hidden="1"/>
    </xf>
    <xf numFmtId="0" fontId="18" fillId="25" borderId="10" xfId="0" applyFont="1" applyFill="1" applyBorder="1" applyAlignment="1" applyProtection="1">
      <alignment horizontal="center" vertical="center"/>
      <protection locked="0" hidden="1"/>
    </xf>
    <xf numFmtId="0" fontId="15" fillId="39" borderId="10" xfId="0" applyFont="1" applyFill="1" applyBorder="1" applyAlignment="1" applyProtection="1">
      <alignment horizontal="center"/>
      <protection hidden="1"/>
    </xf>
    <xf numFmtId="0" fontId="15" fillId="25" borderId="12" xfId="0" applyFont="1" applyFill="1" applyBorder="1" applyAlignment="1" applyProtection="1">
      <alignment horizontal="center" vertical="top" wrapText="1"/>
      <protection locked="0" hidden="1"/>
    </xf>
    <xf numFmtId="0" fontId="15" fillId="25" borderId="15" xfId="0" applyFont="1" applyFill="1" applyBorder="1" applyAlignment="1" applyProtection="1">
      <alignment horizontal="center" vertical="top" wrapText="1"/>
      <protection locked="0" hidden="1"/>
    </xf>
    <xf numFmtId="0" fontId="15" fillId="25" borderId="11" xfId="0" applyFont="1" applyFill="1" applyBorder="1" applyAlignment="1" applyProtection="1">
      <alignment horizontal="center" vertical="top" wrapText="1"/>
      <protection locked="0" hidden="1"/>
    </xf>
    <xf numFmtId="0" fontId="15" fillId="25" borderId="15" xfId="0" applyFont="1" applyFill="1" applyBorder="1" applyAlignment="1" applyProtection="1">
      <alignment horizontal="center" vertical="top"/>
      <protection locked="0" hidden="1"/>
    </xf>
    <xf numFmtId="0" fontId="15" fillId="25" borderId="11" xfId="0" applyFont="1" applyFill="1" applyBorder="1" applyAlignment="1" applyProtection="1">
      <alignment horizontal="center" vertical="top"/>
      <protection locked="0" hidden="1"/>
    </xf>
    <xf numFmtId="164" fontId="15" fillId="25" borderId="24" xfId="0" applyNumberFormat="1" applyFont="1" applyFill="1" applyBorder="1" applyAlignment="1" applyProtection="1">
      <alignment horizontal="center" vertical="top"/>
      <protection locked="0"/>
    </xf>
    <xf numFmtId="0" fontId="15" fillId="31" borderId="10" xfId="0" applyFont="1" applyFill="1" applyBorder="1" applyAlignment="1" applyProtection="1">
      <alignment horizontal="left" vertical="top" wrapText="1"/>
      <protection hidden="1"/>
    </xf>
    <xf numFmtId="0" fontId="16" fillId="31" borderId="10" xfId="0" applyFont="1" applyFill="1" applyBorder="1" applyAlignment="1" applyProtection="1">
      <alignment horizontal="left" vertical="top" wrapText="1"/>
      <protection hidden="1"/>
    </xf>
    <xf numFmtId="0" fontId="5" fillId="35" borderId="28" xfId="0" applyFont="1" applyFill="1" applyBorder="1" applyAlignment="1" applyProtection="1">
      <alignment horizontal="center" vertical="top" wrapText="1"/>
      <protection hidden="1"/>
    </xf>
    <xf numFmtId="0" fontId="5" fillId="35" borderId="27" xfId="0" applyFont="1" applyFill="1" applyBorder="1" applyAlignment="1" applyProtection="1">
      <alignment horizontal="center" vertical="top" wrapText="1"/>
      <protection hidden="1"/>
    </xf>
    <xf numFmtId="0" fontId="5" fillId="35" borderId="29" xfId="0" applyFont="1" applyFill="1" applyBorder="1" applyAlignment="1" applyProtection="1">
      <alignment horizontal="center" vertical="top" wrapText="1"/>
      <protection hidden="1"/>
    </xf>
    <xf numFmtId="0" fontId="3" fillId="28" borderId="12" xfId="0" applyFont="1" applyFill="1" applyBorder="1" applyAlignment="1" applyProtection="1">
      <alignment horizontal="center"/>
      <protection hidden="1"/>
    </xf>
    <xf numFmtId="0" fontId="3" fillId="28" borderId="11" xfId="0" applyFont="1" applyFill="1" applyBorder="1" applyAlignment="1" applyProtection="1">
      <alignment horizontal="center"/>
      <protection hidden="1"/>
    </xf>
    <xf numFmtId="0" fontId="9" fillId="0" borderId="19" xfId="0" applyFont="1" applyBorder="1" applyAlignment="1" applyProtection="1">
      <alignment horizontal="center" vertical="top" wrapText="1"/>
      <protection hidden="1"/>
    </xf>
    <xf numFmtId="0" fontId="9" fillId="0" borderId="26" xfId="0" applyFont="1" applyBorder="1" applyAlignment="1" applyProtection="1">
      <alignment horizontal="center" vertical="top" wrapText="1"/>
      <protection hidden="1"/>
    </xf>
    <xf numFmtId="0" fontId="9" fillId="0" borderId="21" xfId="0" applyFont="1" applyBorder="1" applyAlignment="1" applyProtection="1">
      <alignment horizontal="center" vertical="top" wrapText="1"/>
      <protection hidden="1"/>
    </xf>
    <xf numFmtId="0" fontId="9" fillId="0" borderId="20" xfId="0" applyFont="1" applyBorder="1" applyAlignment="1" applyProtection="1">
      <alignment horizontal="center" vertical="top" wrapText="1"/>
      <protection hidden="1"/>
    </xf>
    <xf numFmtId="0" fontId="9" fillId="0" borderId="0" xfId="0" applyFont="1" applyBorder="1" applyAlignment="1" applyProtection="1">
      <alignment horizontal="center" vertical="top" wrapText="1"/>
      <protection hidden="1"/>
    </xf>
    <xf numFmtId="0" fontId="9" fillId="0" borderId="30" xfId="0" applyFont="1" applyBorder="1" applyAlignment="1" applyProtection="1">
      <alignment horizontal="center" vertical="top" wrapText="1"/>
      <protection hidden="1"/>
    </xf>
    <xf numFmtId="0" fontId="9" fillId="0" borderId="28" xfId="0" applyFont="1" applyBorder="1" applyAlignment="1" applyProtection="1">
      <alignment horizontal="center" vertical="top" wrapText="1"/>
      <protection hidden="1"/>
    </xf>
    <xf numFmtId="0" fontId="9" fillId="0" borderId="27" xfId="0" applyFont="1" applyBorder="1" applyAlignment="1" applyProtection="1">
      <alignment horizontal="center" vertical="top" wrapText="1"/>
      <protection hidden="1"/>
    </xf>
    <xf numFmtId="0" fontId="9" fillId="0" borderId="29" xfId="0" applyFont="1" applyBorder="1" applyAlignment="1" applyProtection="1">
      <alignment horizontal="center" vertical="top" wrapText="1"/>
      <protection hidden="1"/>
    </xf>
    <xf numFmtId="0" fontId="9" fillId="0" borderId="19" xfId="0" applyFont="1" applyFill="1" applyBorder="1" applyAlignment="1" applyProtection="1">
      <alignment horizontal="center" vertical="top" wrapText="1"/>
      <protection hidden="1"/>
    </xf>
    <xf numFmtId="0" fontId="9" fillId="0" borderId="26" xfId="0" applyFont="1" applyFill="1" applyBorder="1" applyAlignment="1" applyProtection="1">
      <alignment horizontal="center" vertical="top" wrapText="1"/>
      <protection hidden="1"/>
    </xf>
    <xf numFmtId="0" fontId="9" fillId="0" borderId="21" xfId="0" applyFont="1" applyFill="1" applyBorder="1" applyAlignment="1" applyProtection="1">
      <alignment horizontal="center" vertical="top" wrapText="1"/>
      <protection hidden="1"/>
    </xf>
    <xf numFmtId="0" fontId="9" fillId="0" borderId="28" xfId="0" applyFont="1" applyFill="1" applyBorder="1" applyAlignment="1" applyProtection="1">
      <alignment horizontal="center" vertical="top" wrapText="1"/>
      <protection hidden="1"/>
    </xf>
    <xf numFmtId="0" fontId="9" fillId="0" borderId="27" xfId="0" applyFont="1" applyFill="1" applyBorder="1" applyAlignment="1" applyProtection="1">
      <alignment horizontal="center" vertical="top" wrapText="1"/>
      <protection hidden="1"/>
    </xf>
    <xf numFmtId="0" fontId="9" fillId="0" borderId="29" xfId="0" applyFont="1" applyFill="1" applyBorder="1" applyAlignment="1" applyProtection="1">
      <alignment horizontal="center" vertical="top" wrapText="1"/>
      <protection hidden="1"/>
    </xf>
    <xf numFmtId="0" fontId="15" fillId="0" borderId="12" xfId="0" applyFont="1" applyFill="1" applyBorder="1" applyAlignment="1" applyProtection="1">
      <alignment horizontal="center" vertical="top" wrapText="1"/>
      <protection hidden="1"/>
    </xf>
    <xf numFmtId="0" fontId="15" fillId="0" borderId="11" xfId="0" applyFont="1" applyFill="1" applyBorder="1" applyAlignment="1" applyProtection="1">
      <alignment horizontal="center" vertical="top" wrapText="1"/>
      <protection hidden="1"/>
    </xf>
    <xf numFmtId="0" fontId="15" fillId="39" borderId="19" xfId="0" applyFont="1" applyFill="1" applyBorder="1" applyAlignment="1" applyProtection="1">
      <alignment horizontal="center" vertical="top" wrapText="1"/>
      <protection hidden="1"/>
    </xf>
    <xf numFmtId="0" fontId="15" fillId="39" borderId="26" xfId="0" applyFont="1" applyFill="1" applyBorder="1" applyAlignment="1" applyProtection="1">
      <alignment horizontal="center" vertical="top" wrapText="1"/>
      <protection hidden="1"/>
    </xf>
    <xf numFmtId="0" fontId="15" fillId="39" borderId="21" xfId="0" applyFont="1" applyFill="1" applyBorder="1" applyAlignment="1" applyProtection="1">
      <alignment horizontal="center" vertical="top" wrapText="1"/>
      <protection hidden="1"/>
    </xf>
    <xf numFmtId="0" fontId="15" fillId="39" borderId="28" xfId="0" applyFont="1" applyFill="1" applyBorder="1" applyAlignment="1" applyProtection="1">
      <alignment horizontal="center" vertical="top" wrapText="1"/>
      <protection hidden="1"/>
    </xf>
    <xf numFmtId="0" fontId="15" fillId="39" borderId="27" xfId="0" applyFont="1" applyFill="1" applyBorder="1" applyAlignment="1" applyProtection="1">
      <alignment horizontal="center" vertical="top" wrapText="1"/>
      <protection hidden="1"/>
    </xf>
    <xf numFmtId="0" fontId="15" fillId="39" borderId="29" xfId="0" applyFont="1" applyFill="1" applyBorder="1" applyAlignment="1" applyProtection="1">
      <alignment horizontal="center" vertical="top" wrapText="1"/>
      <protection hidden="1"/>
    </xf>
    <xf numFmtId="0" fontId="4" fillId="31" borderId="19" xfId="0" applyFont="1" applyFill="1" applyBorder="1" applyAlignment="1" applyProtection="1">
      <alignment horizontal="center" vertical="top" wrapText="1"/>
      <protection hidden="1"/>
    </xf>
    <xf numFmtId="0" fontId="4" fillId="31" borderId="21" xfId="0" applyFont="1" applyFill="1" applyBorder="1" applyAlignment="1" applyProtection="1">
      <alignment horizontal="center" vertical="top" wrapText="1"/>
      <protection hidden="1"/>
    </xf>
    <xf numFmtId="0" fontId="4" fillId="31" borderId="28" xfId="0" applyFont="1" applyFill="1" applyBorder="1" applyAlignment="1" applyProtection="1">
      <alignment horizontal="center" vertical="top" wrapText="1"/>
      <protection hidden="1"/>
    </xf>
    <xf numFmtId="0" fontId="4" fillId="31" borderId="29" xfId="0" applyFont="1" applyFill="1" applyBorder="1" applyAlignment="1" applyProtection="1">
      <alignment horizontal="center" vertical="top" wrapText="1"/>
      <protection hidden="1"/>
    </xf>
    <xf numFmtId="0" fontId="5" fillId="30" borderId="19" xfId="0" applyFont="1" applyFill="1" applyBorder="1" applyAlignment="1" applyProtection="1">
      <alignment horizontal="center" vertical="top" wrapText="1"/>
      <protection hidden="1"/>
    </xf>
    <xf numFmtId="0" fontId="5" fillId="30" borderId="21" xfId="0" applyFont="1" applyFill="1" applyBorder="1" applyAlignment="1" applyProtection="1">
      <alignment horizontal="center" vertical="top" wrapText="1"/>
      <protection hidden="1"/>
    </xf>
    <xf numFmtId="0" fontId="5" fillId="30" borderId="28" xfId="0" applyFont="1" applyFill="1" applyBorder="1" applyAlignment="1" applyProtection="1">
      <alignment horizontal="center" vertical="top" wrapText="1"/>
      <protection hidden="1"/>
    </xf>
    <xf numFmtId="0" fontId="5" fillId="30" borderId="29" xfId="0" applyFont="1" applyFill="1" applyBorder="1" applyAlignment="1" applyProtection="1">
      <alignment horizontal="center" vertical="top" wrapText="1"/>
      <protection hidden="1"/>
    </xf>
    <xf numFmtId="0" fontId="4" fillId="0" borderId="19" xfId="0" applyFont="1" applyBorder="1" applyAlignment="1" applyProtection="1">
      <alignment horizontal="center" wrapText="1"/>
      <protection hidden="1"/>
    </xf>
    <xf numFmtId="0" fontId="4" fillId="0" borderId="21" xfId="0" applyFont="1" applyBorder="1" applyAlignment="1" applyProtection="1">
      <alignment horizontal="center" wrapText="1"/>
      <protection hidden="1"/>
    </xf>
    <xf numFmtId="0" fontId="4" fillId="0" borderId="20" xfId="0" applyFont="1" applyBorder="1" applyAlignment="1" applyProtection="1">
      <alignment horizontal="center" wrapText="1"/>
      <protection hidden="1"/>
    </xf>
    <xf numFmtId="0" fontId="4" fillId="0" borderId="30" xfId="0" applyFont="1" applyBorder="1" applyAlignment="1" applyProtection="1">
      <alignment horizontal="center" wrapText="1"/>
      <protection hidden="1"/>
    </xf>
    <xf numFmtId="0" fontId="4" fillId="0" borderId="28" xfId="0" applyFont="1" applyBorder="1" applyAlignment="1" applyProtection="1">
      <alignment horizontal="center" wrapText="1"/>
      <protection hidden="1"/>
    </xf>
    <xf numFmtId="0" fontId="4" fillId="0" borderId="29" xfId="0" applyFont="1" applyBorder="1" applyAlignment="1" applyProtection="1">
      <alignment horizontal="center" wrapText="1"/>
      <protection hidden="1"/>
    </xf>
    <xf numFmtId="0" fontId="3" fillId="25" borderId="19" xfId="0" applyFont="1" applyFill="1" applyBorder="1" applyAlignment="1" applyProtection="1">
      <alignment horizontal="center"/>
      <protection locked="0"/>
    </xf>
    <xf numFmtId="0" fontId="3" fillId="25" borderId="21" xfId="0" applyFont="1" applyFill="1" applyBorder="1" applyAlignment="1" applyProtection="1">
      <alignment horizontal="center"/>
      <protection locked="0"/>
    </xf>
    <xf numFmtId="0" fontId="3" fillId="25" borderId="20" xfId="0" applyFont="1" applyFill="1" applyBorder="1" applyAlignment="1" applyProtection="1">
      <alignment horizontal="center"/>
      <protection locked="0"/>
    </xf>
    <xf numFmtId="0" fontId="3" fillId="25" borderId="30" xfId="0" applyFont="1" applyFill="1" applyBorder="1" applyAlignment="1" applyProtection="1">
      <alignment horizontal="center"/>
      <protection locked="0"/>
    </xf>
    <xf numFmtId="0" fontId="3" fillId="25" borderId="28" xfId="0" applyFont="1" applyFill="1" applyBorder="1" applyAlignment="1" applyProtection="1">
      <alignment horizontal="center"/>
      <protection locked="0"/>
    </xf>
    <xf numFmtId="0" fontId="3" fillId="25" borderId="29" xfId="0" applyFont="1" applyFill="1" applyBorder="1" applyAlignment="1" applyProtection="1">
      <alignment horizontal="center"/>
      <protection locked="0"/>
    </xf>
    <xf numFmtId="0" fontId="5" fillId="35" borderId="46" xfId="0" applyFont="1" applyFill="1" applyBorder="1" applyAlignment="1" applyProtection="1">
      <alignment horizontal="center" vertical="top"/>
      <protection hidden="1"/>
    </xf>
    <xf numFmtId="0" fontId="5" fillId="35" borderId="47" xfId="0" applyFont="1" applyFill="1" applyBorder="1" applyAlignment="1" applyProtection="1">
      <alignment horizontal="center" vertical="top"/>
      <protection hidden="1"/>
    </xf>
    <xf numFmtId="0" fontId="5" fillId="35" borderId="48" xfId="0" applyFont="1" applyFill="1" applyBorder="1" applyAlignment="1" applyProtection="1">
      <alignment horizontal="center" vertical="top"/>
      <protection hidden="1"/>
    </xf>
    <xf numFmtId="0" fontId="3" fillId="25" borderId="10" xfId="0" applyFont="1" applyFill="1" applyBorder="1" applyAlignment="1" applyProtection="1">
      <alignment horizontal="center"/>
      <protection locked="0"/>
    </xf>
    <xf numFmtId="0" fontId="4" fillId="31" borderId="12" xfId="0" applyFont="1" applyFill="1" applyBorder="1" applyAlignment="1" applyProtection="1">
      <alignment horizontal="center" vertical="top" wrapText="1"/>
      <protection hidden="1"/>
    </xf>
    <xf numFmtId="0" fontId="4" fillId="31" borderId="11" xfId="0" applyFont="1" applyFill="1" applyBorder="1" applyAlignment="1" applyProtection="1">
      <alignment horizontal="center" vertical="top" wrapText="1"/>
      <protection hidden="1"/>
    </xf>
    <xf numFmtId="0" fontId="5" fillId="30" borderId="12" xfId="0" applyFont="1" applyFill="1" applyBorder="1" applyAlignment="1" applyProtection="1">
      <alignment horizontal="center" vertical="top" wrapText="1"/>
      <protection hidden="1"/>
    </xf>
    <xf numFmtId="0" fontId="5" fillId="30" borderId="11" xfId="0" applyFont="1" applyFill="1" applyBorder="1" applyAlignment="1" applyProtection="1">
      <alignment horizontal="center" vertical="top" wrapText="1"/>
      <protection hidden="1"/>
    </xf>
    <xf numFmtId="0" fontId="2" fillId="0" borderId="12" xfId="0" applyFont="1" applyFill="1" applyBorder="1" applyAlignment="1" applyProtection="1">
      <alignment horizontal="left"/>
      <protection hidden="1"/>
    </xf>
    <xf numFmtId="0" fontId="2" fillId="0" borderId="11" xfId="0" applyFont="1" applyFill="1" applyBorder="1" applyAlignment="1" applyProtection="1">
      <alignment horizontal="left"/>
      <protection hidden="1"/>
    </xf>
    <xf numFmtId="0" fontId="15" fillId="39" borderId="10" xfId="0" applyFont="1" applyFill="1" applyBorder="1" applyAlignment="1" applyProtection="1">
      <alignment horizontal="center" vertical="top" wrapText="1"/>
      <protection hidden="1"/>
    </xf>
    <xf numFmtId="0" fontId="15" fillId="34" borderId="12" xfId="0" applyFont="1" applyFill="1" applyBorder="1" applyAlignment="1" applyProtection="1">
      <alignment horizontal="center" vertical="top" wrapText="1"/>
      <protection hidden="1"/>
    </xf>
    <xf numFmtId="0" fontId="15" fillId="34" borderId="11" xfId="0" applyFont="1" applyFill="1" applyBorder="1" applyAlignment="1" applyProtection="1">
      <alignment horizontal="center" vertical="top" wrapText="1"/>
      <protection hidden="1"/>
    </xf>
    <xf numFmtId="0" fontId="12" fillId="33" borderId="0" xfId="0" applyFont="1" applyFill="1" applyBorder="1" applyAlignment="1" applyProtection="1">
      <alignment horizontal="center"/>
      <protection hidden="1"/>
    </xf>
    <xf numFmtId="0" fontId="15" fillId="0" borderId="10" xfId="0" applyFont="1" applyBorder="1" applyAlignment="1" applyProtection="1">
      <alignment horizontal="center"/>
      <protection hidden="1"/>
    </xf>
    <xf numFmtId="0" fontId="15" fillId="36" borderId="19" xfId="0" applyFont="1" applyFill="1" applyBorder="1" applyAlignment="1" applyProtection="1">
      <alignment horizontal="center" vertical="top" wrapText="1"/>
      <protection hidden="1"/>
    </xf>
    <xf numFmtId="0" fontId="15" fillId="36" borderId="21" xfId="0" applyFont="1" applyFill="1" applyBorder="1" applyAlignment="1" applyProtection="1">
      <alignment horizontal="center" vertical="top" wrapText="1"/>
      <protection hidden="1"/>
    </xf>
    <xf numFmtId="0" fontId="3" fillId="25" borderId="20" xfId="0" applyFont="1" applyFill="1" applyBorder="1" applyAlignment="1" applyProtection="1">
      <alignment horizontal="center" vertical="center"/>
      <protection locked="0"/>
    </xf>
    <xf numFmtId="0" fontId="3" fillId="25" borderId="30" xfId="0" applyFont="1" applyFill="1" applyBorder="1" applyAlignment="1" applyProtection="1">
      <alignment horizontal="center" vertical="center"/>
      <protection locked="0"/>
    </xf>
    <xf numFmtId="0" fontId="15" fillId="40" borderId="10" xfId="0" applyFont="1" applyFill="1" applyBorder="1" applyAlignment="1" applyProtection="1">
      <alignment horizontal="center" vertical="top" wrapText="1"/>
      <protection hidden="1"/>
    </xf>
    <xf numFmtId="0" fontId="15" fillId="36" borderId="10" xfId="0" applyFont="1" applyFill="1" applyBorder="1" applyAlignment="1" applyProtection="1">
      <alignment horizontal="center" vertical="top" wrapText="1"/>
      <protection hidden="1"/>
    </xf>
    <xf numFmtId="0" fontId="15" fillId="34" borderId="10" xfId="0" applyFont="1" applyFill="1" applyBorder="1" applyAlignment="1" applyProtection="1">
      <alignment horizontal="center" vertical="top" wrapText="1"/>
      <protection hidden="1"/>
    </xf>
    <xf numFmtId="0" fontId="21" fillId="33" borderId="0" xfId="0" applyFont="1" applyFill="1" applyBorder="1" applyAlignment="1" applyProtection="1">
      <alignment horizontal="center" wrapText="1"/>
      <protection hidden="1"/>
    </xf>
    <xf numFmtId="0" fontId="57" fillId="42" borderId="26" xfId="0" applyFont="1" applyFill="1" applyBorder="1" applyAlignment="1" applyProtection="1">
      <alignment horizontal="center"/>
      <protection hidden="1"/>
    </xf>
    <xf numFmtId="0" fontId="13" fillId="0" borderId="0" xfId="0" applyFont="1" applyFill="1" applyBorder="1" applyAlignment="1" applyProtection="1">
      <alignment horizontal="center"/>
      <protection hidden="1"/>
    </xf>
    <xf numFmtId="0" fontId="83" fillId="42" borderId="0" xfId="0" applyFont="1" applyFill="1" applyBorder="1" applyAlignment="1" applyProtection="1">
      <alignment horizontal="center"/>
      <protection locked="0" hidden="1"/>
    </xf>
    <xf numFmtId="0" fontId="57" fillId="42" borderId="0" xfId="0" applyFont="1" applyFill="1" applyBorder="1" applyAlignment="1" applyProtection="1">
      <alignment horizontal="center"/>
      <protection hidden="1"/>
    </xf>
    <xf numFmtId="0" fontId="57" fillId="42" borderId="0" xfId="0" applyFont="1" applyFill="1" applyBorder="1" applyAlignment="1" applyProtection="1">
      <alignment horizontal="center"/>
      <protection locked="0"/>
    </xf>
    <xf numFmtId="0" fontId="1" fillId="49" borderId="10" xfId="0" applyFont="1" applyFill="1" applyBorder="1" applyAlignment="1" applyProtection="1">
      <alignment horizontal="center" vertical="center"/>
      <protection locked="0"/>
    </xf>
    <xf numFmtId="0" fontId="1" fillId="49" borderId="22" xfId="0" applyFont="1" applyFill="1" applyBorder="1" applyAlignment="1" applyProtection="1">
      <alignment horizontal="center" vertical="center"/>
      <protection locked="0"/>
    </xf>
    <xf numFmtId="0" fontId="57" fillId="42" borderId="26" xfId="0" applyFont="1" applyFill="1" applyBorder="1" applyAlignment="1" applyProtection="1">
      <alignment horizontal="center" vertical="center"/>
      <protection locked="0"/>
    </xf>
    <xf numFmtId="0" fontId="16" fillId="49" borderId="22" xfId="0" applyFont="1" applyFill="1" applyBorder="1" applyAlignment="1" applyProtection="1">
      <alignment horizontal="center" vertical="center"/>
      <protection locked="0" hidden="1"/>
    </xf>
    <xf numFmtId="0" fontId="16" fillId="49" borderId="39" xfId="0" applyFont="1" applyFill="1" applyBorder="1" applyAlignment="1" applyProtection="1">
      <alignment horizontal="center" vertical="center"/>
      <protection locked="0" hidden="1"/>
    </xf>
  </cellXfs>
  <cellStyles count="5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58" builtinId="8"/>
    <cellStyle name="Input" xfId="34" builtinId="20" customBuiltin="1"/>
    <cellStyle name="Linked Cell" xfId="35" builtinId="24" customBuiltin="1"/>
    <cellStyle name="Neutral" xfId="36" builtinId="28" customBuiltin="1"/>
    <cellStyle name="Normal" xfId="0" builtinId="0"/>
    <cellStyle name="Normal 10" xfId="37"/>
    <cellStyle name="Normal 10 2" xfId="50"/>
    <cellStyle name="Normal 11" xfId="38"/>
    <cellStyle name="Normal 11 2" xfId="51"/>
    <cellStyle name="Normal 12" xfId="39"/>
    <cellStyle name="Normal 12 2" xfId="52"/>
    <cellStyle name="Normal 4" xfId="40"/>
    <cellStyle name="Normal 4 2" xfId="53"/>
    <cellStyle name="Normal 5" xfId="41"/>
    <cellStyle name="Normal 5 2" xfId="54"/>
    <cellStyle name="Normal 6" xfId="42"/>
    <cellStyle name="Normal 6 2" xfId="55"/>
    <cellStyle name="Normal 7" xfId="43"/>
    <cellStyle name="Normal 7 2" xfId="56"/>
    <cellStyle name="Normal 8" xfId="44"/>
    <cellStyle name="Normal 8 2" xfId="57"/>
    <cellStyle name="Note" xfId="45" builtinId="10" customBuiltin="1"/>
    <cellStyle name="Output" xfId="46" builtinId="21" customBuiltin="1"/>
    <cellStyle name="Title" xfId="47" builtinId="15" customBuiltin="1"/>
    <cellStyle name="Total" xfId="48" builtinId="25" customBuiltin="1"/>
    <cellStyle name="Warning Text" xfId="49" builtinId="11" customBuiltin="1"/>
  </cellStyles>
  <dxfs count="11">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66FF33"/>
        </patternFill>
      </fill>
    </dxf>
    <dxf>
      <fill>
        <patternFill>
          <bgColor indexed="11"/>
        </patternFill>
      </fill>
    </dxf>
  </dxfs>
  <tableStyles count="0" defaultTableStyle="TableStyleMedium9" defaultPivotStyle="PivotStyleLight16"/>
  <colors>
    <mruColors>
      <color rgb="FF66FF33"/>
      <color rgb="FFFF7C80"/>
      <color rgb="FFFFFFCC"/>
      <color rgb="FF00FF00"/>
      <color rgb="FFFFFF99"/>
      <color rgb="FFFF9999"/>
      <color rgb="FFE67D6C"/>
      <color rgb="FFFF9900"/>
      <color rgb="FF66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5.xml.rels><?xml version="1.0" encoding="UTF-8" standalone="yes"?>
<Relationships xmlns="http://schemas.openxmlformats.org/package/2006/relationships"><Relationship Id="rId1" Type="http://schemas.microsoft.com/office/2006/relationships/activeXControlBinary" Target="activeX4.bin"/></Relationships>
</file>

<file path=xl/activeX/_rels/activeX6.xml.rels><?xml version="1.0" encoding="UTF-8" standalone="yes"?>
<Relationships xmlns="http://schemas.openxmlformats.org/package/2006/relationships"><Relationship Id="rId1" Type="http://schemas.microsoft.com/office/2006/relationships/activeXControlBinary" Target="activeX5.bin"/></Relationships>
</file>

<file path=xl/activeX/_rels/activeX7.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20DD1B9E-87C4-11D1-8BE3-0000F8754DA1}" ax:license="651A8940-87C5-11d1-8BE3-0000F8754DA1" ax:persistence="persistPropertyBag">
  <ax:ocxPr ax:name="_ExtentX" ax:value="1085"/>
  <ax:ocxPr ax:name="_ExtentY" ax:value="1085"/>
  <ax:ocxPr ax:name="_Version" ax:value="393216"/>
  <ax:ocxPr ax:name="Font">
    <ax:font ax:persistence="persistPropertyBag">
      <ax:ocxPr ax:name="Name" ax:value="Arial"/>
      <ax:ocxPr ax:name="Size" ax:value="11.25"/>
      <ax:ocxPr ax:name="Charset" ax:value="0"/>
      <ax:ocxPr ax:name="Weight" ax:value="700"/>
      <ax:ocxPr ax:name="Underline" ax:value="0"/>
      <ax:ocxPr ax:name="Italic" ax:value="0"/>
      <ax:ocxPr ax:name="Strikethrough" ax:value="0"/>
    </ax:font>
  </ax:ocxPr>
  <ax:ocxPr ax:name="OLEDropMode" ax:value="1"/>
  <ax:ocxPr ax:name="Format" ax:value="189530113"/>
  <ax:ocxPr ax:name="CurrentDate" ax:value="42226"/>
</ax:ocx>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20DD1B9E-87C4-11D1-8BE3-0000F8754DA1}" ax:license="651A8940-87C5-11d1-8BE3-0000F8754DA1" ax:persistence="persistPropertyBag">
  <ax:ocxPr ax:name="_ExtentX" ax:value="1429"/>
  <ax:ocxPr ax:name="_ExtentY" ax:value="1429"/>
  <ax:ocxPr ax:name="_Version" ax:value="393216"/>
  <ax:ocxPr ax:name="Font">
    <ax:font ax:persistence="persistPropertyBag">
      <ax:ocxPr ax:name="Name" ax:value="Arial"/>
      <ax:ocxPr ax:name="Size" ax:value="11.25"/>
      <ax:ocxPr ax:name="Charset" ax:value="0"/>
      <ax:ocxPr ax:name="Weight" ax:value="700"/>
      <ax:ocxPr ax:name="Underline" ax:value="0"/>
      <ax:ocxPr ax:name="Italic" ax:value="0"/>
      <ax:ocxPr ax:name="Strikethrough" ax:value="0"/>
    </ax:font>
  </ax:ocxPr>
  <ax:ocxPr ax:name="Format" ax:value="387645441"/>
  <ax:ocxPr ax:name="CurrentDate" ax:value="42226"/>
</ax:ocx>
</file>

<file path=xl/ctrlProps/ctrlProp1.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1</xdr:row>
          <xdr:rowOff>114300</xdr:rowOff>
        </xdr:from>
        <xdr:to>
          <xdr:col>3</xdr:col>
          <xdr:colOff>438150</xdr:colOff>
          <xdr:row>3</xdr:row>
          <xdr:rowOff>47625</xdr:rowOff>
        </xdr:to>
        <xdr:sp macro="" textlink="">
          <xdr:nvSpPr>
            <xdr:cNvPr id="2055" name="OptionButton1" hidden="1">
              <a:extLst>
                <a:ext uri="{63B3BB69-23CF-44E3-9099-C40C66FF867C}">
                  <a14:compatExt spid="_x0000_s2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xdr:row>
          <xdr:rowOff>114300</xdr:rowOff>
        </xdr:from>
        <xdr:to>
          <xdr:col>3</xdr:col>
          <xdr:colOff>447675</xdr:colOff>
          <xdr:row>4</xdr:row>
          <xdr:rowOff>47625</xdr:rowOff>
        </xdr:to>
        <xdr:sp macro="" textlink="">
          <xdr:nvSpPr>
            <xdr:cNvPr id="2056" name="OptionButton2" hidden="1">
              <a:extLst>
                <a:ext uri="{63B3BB69-23CF-44E3-9099-C40C66FF867C}">
                  <a14:compatExt spid="_x0000_s2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xdr:row>
          <xdr:rowOff>142875</xdr:rowOff>
        </xdr:from>
        <xdr:to>
          <xdr:col>3</xdr:col>
          <xdr:colOff>438150</xdr:colOff>
          <xdr:row>5</xdr:row>
          <xdr:rowOff>66675</xdr:rowOff>
        </xdr:to>
        <xdr:sp macro="" textlink="">
          <xdr:nvSpPr>
            <xdr:cNvPr id="2057" name="OptionButton3" hidden="1">
              <a:extLst>
                <a:ext uri="{63B3BB69-23CF-44E3-9099-C40C66FF867C}">
                  <a14:compatExt spid="_x0000_s2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333375</xdr:colOff>
          <xdr:row>6</xdr:row>
          <xdr:rowOff>19050</xdr:rowOff>
        </xdr:from>
        <xdr:to>
          <xdr:col>5</xdr:col>
          <xdr:colOff>19050</xdr:colOff>
          <xdr:row>11</xdr:row>
          <xdr:rowOff>38100</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Start</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0</xdr:col>
      <xdr:colOff>163286</xdr:colOff>
      <xdr:row>0</xdr:row>
      <xdr:rowOff>204107</xdr:rowOff>
    </xdr:from>
    <xdr:ext cx="184731" cy="264560"/>
    <xdr:sp macro="" textlink="">
      <xdr:nvSpPr>
        <xdr:cNvPr id="2" name="TextBox 1"/>
        <xdr:cNvSpPr txBox="1"/>
      </xdr:nvSpPr>
      <xdr:spPr>
        <a:xfrm>
          <a:off x="163286" y="204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mc:AlternateContent xmlns:mc="http://schemas.openxmlformats.org/markup-compatibility/2006">
    <mc:Choice xmlns:a14="http://schemas.microsoft.com/office/drawing/2010/main" Requires="a14">
      <xdr:twoCellAnchor>
        <xdr:from>
          <xdr:col>23</xdr:col>
          <xdr:colOff>0</xdr:colOff>
          <xdr:row>0</xdr:row>
          <xdr:rowOff>28575</xdr:rowOff>
        </xdr:from>
        <xdr:to>
          <xdr:col>26</xdr:col>
          <xdr:colOff>0</xdr:colOff>
          <xdr:row>1</xdr:row>
          <xdr:rowOff>19050</xdr:rowOff>
        </xdr:to>
        <xdr:sp macro="" textlink="">
          <xdr:nvSpPr>
            <xdr:cNvPr id="13314" name="DTPicker1" hidden="1">
              <a:extLst>
                <a:ext uri="{63B3BB69-23CF-44E3-9099-C40C66FF867C}">
                  <a14:compatExt spid="_x0000_s133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31</xdr:row>
          <xdr:rowOff>28575</xdr:rowOff>
        </xdr:from>
        <xdr:to>
          <xdr:col>0</xdr:col>
          <xdr:colOff>2447925</xdr:colOff>
          <xdr:row>31</xdr:row>
          <xdr:rowOff>285750</xdr:rowOff>
        </xdr:to>
        <xdr:sp macro="" textlink="">
          <xdr:nvSpPr>
            <xdr:cNvPr id="16385" name="CheckBox1" hidden="1">
              <a:extLst>
                <a:ext uri="{63B3BB69-23CF-44E3-9099-C40C66FF867C}">
                  <a14:compatExt spid="_x0000_s163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32</xdr:row>
          <xdr:rowOff>38100</xdr:rowOff>
        </xdr:from>
        <xdr:to>
          <xdr:col>0</xdr:col>
          <xdr:colOff>2400300</xdr:colOff>
          <xdr:row>32</xdr:row>
          <xdr:rowOff>266700</xdr:rowOff>
        </xdr:to>
        <xdr:sp macro="" textlink="">
          <xdr:nvSpPr>
            <xdr:cNvPr id="16388" name="CheckBox2" hidden="1">
              <a:extLst>
                <a:ext uri="{63B3BB69-23CF-44E3-9099-C40C66FF867C}">
                  <a14:compatExt spid="_x0000_s163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33</xdr:row>
          <xdr:rowOff>38100</xdr:rowOff>
        </xdr:from>
        <xdr:to>
          <xdr:col>0</xdr:col>
          <xdr:colOff>2171700</xdr:colOff>
          <xdr:row>33</xdr:row>
          <xdr:rowOff>238125</xdr:rowOff>
        </xdr:to>
        <xdr:sp macro="" textlink="">
          <xdr:nvSpPr>
            <xdr:cNvPr id="16389" name="CheckBox3" hidden="1">
              <a:extLst>
                <a:ext uri="{63B3BB69-23CF-44E3-9099-C40C66FF867C}">
                  <a14:compatExt spid="_x0000_s163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xdr:row>
          <xdr:rowOff>9525</xdr:rowOff>
        </xdr:from>
        <xdr:to>
          <xdr:col>4</xdr:col>
          <xdr:colOff>447675</xdr:colOff>
          <xdr:row>4</xdr:row>
          <xdr:rowOff>0</xdr:rowOff>
        </xdr:to>
        <xdr:sp macro="" textlink="">
          <xdr:nvSpPr>
            <xdr:cNvPr id="15361" name="DTPicker1" hidden="1">
              <a:extLst>
                <a:ext uri="{63B3BB69-23CF-44E3-9099-C40C66FF867C}">
                  <a14:compatExt spid="_x0000_s153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image" Target="../media/image4.emf"/><Relationship Id="rId4" Type="http://schemas.openxmlformats.org/officeDocument/2006/relationships/control" Target="../activeX/activeX4.xml"/></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7.xml"/><Relationship Id="rId3" Type="http://schemas.openxmlformats.org/officeDocument/2006/relationships/vmlDrawing" Target="../drawings/vmlDrawing4.vml"/><Relationship Id="rId7" Type="http://schemas.openxmlformats.org/officeDocument/2006/relationships/image" Target="../media/image6.emf"/><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ntrol" Target="../activeX/activeX6.xml"/><Relationship Id="rId5" Type="http://schemas.openxmlformats.org/officeDocument/2006/relationships/image" Target="../media/image5.emf"/><Relationship Id="rId4" Type="http://schemas.openxmlformats.org/officeDocument/2006/relationships/control" Target="../activeX/activeX5.xml"/><Relationship Id="rId9" Type="http://schemas.openxmlformats.org/officeDocument/2006/relationships/image" Target="../media/image7.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image" Target="../media/image8.emf"/><Relationship Id="rId4" Type="http://schemas.openxmlformats.org/officeDocument/2006/relationships/control" Target="../activeX/activeX8.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E7"/>
  <sheetViews>
    <sheetView workbookViewId="0">
      <selection activeCell="E31" sqref="E31"/>
    </sheetView>
  </sheetViews>
  <sheetFormatPr defaultRowHeight="12.75" x14ac:dyDescent="0.2"/>
  <cols>
    <col min="2" max="2" width="6.42578125" customWidth="1"/>
  </cols>
  <sheetData>
    <row r="1" spans="1:5" x14ac:dyDescent="0.2">
      <c r="A1" s="400" t="s">
        <v>8</v>
      </c>
      <c r="B1" s="400" t="s">
        <v>41</v>
      </c>
      <c r="C1" s="402" t="s">
        <v>7</v>
      </c>
      <c r="D1" s="403"/>
    </row>
    <row r="2" spans="1:5" x14ac:dyDescent="0.2">
      <c r="A2" s="401"/>
      <c r="B2" s="401"/>
      <c r="C2" s="404"/>
      <c r="D2" s="405"/>
    </row>
    <row r="3" spans="1:5" ht="12" customHeight="1" x14ac:dyDescent="0.2">
      <c r="A3" s="3" t="s">
        <v>16</v>
      </c>
      <c r="C3" s="406"/>
      <c r="D3" s="407"/>
      <c r="E3" s="2">
        <v>0</v>
      </c>
    </row>
    <row r="4" spans="1:5" x14ac:dyDescent="0.2">
      <c r="A4" s="4" t="s">
        <v>9</v>
      </c>
      <c r="C4" s="408"/>
      <c r="D4" s="409"/>
      <c r="E4" s="1">
        <v>20</v>
      </c>
    </row>
    <row r="5" spans="1:5" x14ac:dyDescent="0.2">
      <c r="A5" s="5" t="s">
        <v>10</v>
      </c>
      <c r="C5" s="408"/>
      <c r="D5" s="409"/>
      <c r="E5" s="1">
        <v>40</v>
      </c>
    </row>
    <row r="6" spans="1:5" x14ac:dyDescent="0.2">
      <c r="A6" s="5" t="s">
        <v>11</v>
      </c>
      <c r="C6" s="410"/>
      <c r="D6" s="411"/>
      <c r="E6" s="1">
        <v>60</v>
      </c>
    </row>
    <row r="7" spans="1:5" x14ac:dyDescent="0.2">
      <c r="A7" s="396" t="s">
        <v>15</v>
      </c>
      <c r="B7" s="397"/>
      <c r="C7" s="398"/>
      <c r="D7" s="399"/>
    </row>
  </sheetData>
  <mergeCells count="6">
    <mergeCell ref="A7:B7"/>
    <mergeCell ref="C7:D7"/>
    <mergeCell ref="A1:A2"/>
    <mergeCell ref="B1:B2"/>
    <mergeCell ref="C1:D2"/>
    <mergeCell ref="C3:D6"/>
  </mergeCells>
  <phoneticPr fontId="2" type="noConversion"/>
  <pageMargins left="0.75" right="0.75" top="1" bottom="1" header="0.5" footer="0.5"/>
  <pageSetup orientation="portrait" r:id="rId1"/>
  <headerFooter alignWithMargins="0"/>
  <drawing r:id="rId2"/>
  <legacyDrawing r:id="rId3"/>
  <controls>
    <mc:AlternateContent xmlns:mc="http://schemas.openxmlformats.org/markup-compatibility/2006">
      <mc:Choice Requires="x14">
        <control shapeId="2055" r:id="rId4" name="OptionButton1">
          <controlPr autoLine="0" r:id="rId5">
            <anchor moveWithCells="1">
              <from>
                <xdr:col>1</xdr:col>
                <xdr:colOff>104775</xdr:colOff>
                <xdr:row>1</xdr:row>
                <xdr:rowOff>114300</xdr:rowOff>
              </from>
              <to>
                <xdr:col>3</xdr:col>
                <xdr:colOff>438150</xdr:colOff>
                <xdr:row>3</xdr:row>
                <xdr:rowOff>47625</xdr:rowOff>
              </to>
            </anchor>
          </controlPr>
        </control>
      </mc:Choice>
      <mc:Fallback>
        <control shapeId="2055" r:id="rId4" name="OptionButton1"/>
      </mc:Fallback>
    </mc:AlternateContent>
    <mc:AlternateContent xmlns:mc="http://schemas.openxmlformats.org/markup-compatibility/2006">
      <mc:Choice Requires="x14">
        <control shapeId="2056" r:id="rId6" name="OptionButton2">
          <controlPr autoLine="0" r:id="rId7">
            <anchor moveWithCells="1">
              <from>
                <xdr:col>1</xdr:col>
                <xdr:colOff>114300</xdr:colOff>
                <xdr:row>2</xdr:row>
                <xdr:rowOff>114300</xdr:rowOff>
              </from>
              <to>
                <xdr:col>3</xdr:col>
                <xdr:colOff>447675</xdr:colOff>
                <xdr:row>4</xdr:row>
                <xdr:rowOff>47625</xdr:rowOff>
              </to>
            </anchor>
          </controlPr>
        </control>
      </mc:Choice>
      <mc:Fallback>
        <control shapeId="2056" r:id="rId6" name="OptionButton2"/>
      </mc:Fallback>
    </mc:AlternateContent>
    <mc:AlternateContent xmlns:mc="http://schemas.openxmlformats.org/markup-compatibility/2006">
      <mc:Choice Requires="x14">
        <control shapeId="2057" r:id="rId8" name="OptionButton3">
          <controlPr autoLine="0" r:id="rId9">
            <anchor moveWithCells="1">
              <from>
                <xdr:col>1</xdr:col>
                <xdr:colOff>104775</xdr:colOff>
                <xdr:row>3</xdr:row>
                <xdr:rowOff>142875</xdr:rowOff>
              </from>
              <to>
                <xdr:col>3</xdr:col>
                <xdr:colOff>438150</xdr:colOff>
                <xdr:row>5</xdr:row>
                <xdr:rowOff>66675</xdr:rowOff>
              </to>
            </anchor>
          </controlPr>
        </control>
      </mc:Choice>
      <mc:Fallback>
        <control shapeId="2057" r:id="rId8" name="OptionButton3"/>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
  <sheetViews>
    <sheetView workbookViewId="0">
      <selection activeCell="E13" sqref="E13"/>
    </sheetView>
  </sheetViews>
  <sheetFormatPr defaultColWidth="9.140625" defaultRowHeight="12.75" x14ac:dyDescent="0.2"/>
  <cols>
    <col min="1" max="16384" width="9.140625" style="147"/>
  </cols>
  <sheetData/>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Button1_Click">
                <anchor moveWithCells="1" sizeWithCells="1">
                  <from>
                    <xdr:col>2</xdr:col>
                    <xdr:colOff>333375</xdr:colOff>
                    <xdr:row>6</xdr:row>
                    <xdr:rowOff>19050</xdr:rowOff>
                  </from>
                  <to>
                    <xdr:col>5</xdr:col>
                    <xdr:colOff>19050</xdr:colOff>
                    <xdr:row>11</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194"/>
  <sheetViews>
    <sheetView tabSelected="1" zoomScaleNormal="100" workbookViewId="0">
      <selection activeCell="B3" sqref="B3:P3"/>
    </sheetView>
  </sheetViews>
  <sheetFormatPr defaultColWidth="0" defaultRowHeight="12.75" zeroHeight="1" x14ac:dyDescent="0.2"/>
  <cols>
    <col min="1" max="1" width="2.28515625" customWidth="1"/>
    <col min="2" max="2" width="8.5703125" customWidth="1"/>
    <col min="3" max="3" width="10" customWidth="1"/>
    <col min="4" max="15" width="9.140625" customWidth="1"/>
    <col min="16" max="16" width="17.5703125" customWidth="1"/>
    <col min="17" max="17" width="2.28515625" customWidth="1"/>
    <col min="18" max="20" width="0" hidden="1" customWidth="1"/>
    <col min="21" max="16384" width="9.140625" hidden="1"/>
  </cols>
  <sheetData>
    <row r="1" spans="1:20" ht="57" customHeight="1" x14ac:dyDescent="0.2">
      <c r="A1" s="235"/>
      <c r="B1" s="432" t="s">
        <v>370</v>
      </c>
      <c r="C1" s="433"/>
      <c r="D1" s="433"/>
      <c r="E1" s="433"/>
      <c r="F1" s="433"/>
      <c r="G1" s="433"/>
      <c r="H1" s="433"/>
      <c r="I1" s="433"/>
      <c r="J1" s="433"/>
      <c r="K1" s="433"/>
      <c r="L1" s="433"/>
      <c r="M1" s="433"/>
      <c r="N1" s="433"/>
      <c r="O1" s="433"/>
      <c r="P1" s="434"/>
      <c r="Q1" s="235"/>
      <c r="R1" s="245"/>
      <c r="S1" s="245"/>
      <c r="T1" s="245"/>
    </row>
    <row r="2" spans="1:20" s="245" customFormat="1" ht="10.5" customHeight="1" x14ac:dyDescent="0.2">
      <c r="A2" s="235"/>
      <c r="B2" s="249"/>
      <c r="C2" s="250"/>
      <c r="D2" s="250"/>
      <c r="E2" s="250"/>
      <c r="F2" s="250"/>
      <c r="G2" s="250"/>
      <c r="H2" s="250"/>
      <c r="I2" s="250"/>
      <c r="J2" s="250"/>
      <c r="K2" s="250"/>
      <c r="L2" s="250"/>
      <c r="M2" s="250"/>
      <c r="N2" s="250"/>
      <c r="O2" s="250"/>
      <c r="P2" s="251"/>
      <c r="Q2" s="235"/>
    </row>
    <row r="3" spans="1:20" ht="43.5" customHeight="1" x14ac:dyDescent="0.2">
      <c r="A3" s="235"/>
      <c r="B3" s="416" t="s">
        <v>294</v>
      </c>
      <c r="C3" s="417"/>
      <c r="D3" s="417"/>
      <c r="E3" s="417"/>
      <c r="F3" s="417"/>
      <c r="G3" s="417"/>
      <c r="H3" s="417"/>
      <c r="I3" s="417"/>
      <c r="J3" s="417"/>
      <c r="K3" s="417"/>
      <c r="L3" s="417"/>
      <c r="M3" s="417"/>
      <c r="N3" s="417"/>
      <c r="O3" s="417"/>
      <c r="P3" s="418"/>
      <c r="Q3" s="235"/>
      <c r="R3" s="245"/>
      <c r="S3" s="245"/>
      <c r="T3" s="245"/>
    </row>
    <row r="4" spans="1:20" ht="18.75" x14ac:dyDescent="0.3">
      <c r="A4" s="235"/>
      <c r="B4" s="252" t="s">
        <v>207</v>
      </c>
      <c r="C4" s="166"/>
      <c r="D4" s="166"/>
      <c r="E4" s="166"/>
      <c r="F4" s="166"/>
      <c r="G4" s="166"/>
      <c r="H4" s="166"/>
      <c r="I4" s="166"/>
      <c r="J4" s="166"/>
      <c r="K4" s="166"/>
      <c r="L4" s="166"/>
      <c r="M4" s="166"/>
      <c r="N4" s="166"/>
      <c r="O4" s="166"/>
      <c r="P4" s="253"/>
      <c r="Q4" s="235"/>
      <c r="R4" s="245"/>
      <c r="S4" s="245"/>
      <c r="T4" s="245"/>
    </row>
    <row r="5" spans="1:20" ht="15.75" x14ac:dyDescent="0.25">
      <c r="A5" s="235"/>
      <c r="B5" s="264" t="s">
        <v>295</v>
      </c>
      <c r="C5" s="166"/>
      <c r="D5" s="166"/>
      <c r="E5" s="166"/>
      <c r="F5" s="166"/>
      <c r="G5" s="166"/>
      <c r="H5" s="166"/>
      <c r="I5" s="166"/>
      <c r="J5" s="166"/>
      <c r="K5" s="166"/>
      <c r="L5" s="166"/>
      <c r="M5" s="166"/>
      <c r="N5" s="166"/>
      <c r="O5" s="166"/>
      <c r="P5" s="253"/>
      <c r="Q5" s="235"/>
      <c r="R5" s="245"/>
      <c r="S5" s="245"/>
      <c r="T5" s="245"/>
    </row>
    <row r="6" spans="1:20" x14ac:dyDescent="0.2">
      <c r="A6" s="235"/>
      <c r="B6" s="254" t="s">
        <v>208</v>
      </c>
      <c r="C6" s="166"/>
      <c r="D6" s="166"/>
      <c r="E6" s="166"/>
      <c r="F6" s="166"/>
      <c r="G6" s="166"/>
      <c r="H6" s="166"/>
      <c r="I6" s="166"/>
      <c r="J6" s="166"/>
      <c r="K6" s="166"/>
      <c r="L6" s="166"/>
      <c r="M6" s="166"/>
      <c r="N6" s="166"/>
      <c r="O6" s="166"/>
      <c r="P6" s="253"/>
      <c r="Q6" s="235"/>
      <c r="R6" s="245"/>
      <c r="S6" s="245"/>
      <c r="T6" s="245"/>
    </row>
    <row r="7" spans="1:20" x14ac:dyDescent="0.2">
      <c r="A7" s="235"/>
      <c r="B7" s="254"/>
      <c r="C7" s="166"/>
      <c r="D7" s="166"/>
      <c r="E7" s="166"/>
      <c r="F7" s="166"/>
      <c r="G7" s="166"/>
      <c r="H7" s="166"/>
      <c r="I7" s="166"/>
      <c r="J7" s="166"/>
      <c r="K7" s="166"/>
      <c r="L7" s="166"/>
      <c r="M7" s="166"/>
      <c r="N7" s="166"/>
      <c r="O7" s="166"/>
      <c r="P7" s="253"/>
      <c r="Q7" s="235"/>
      <c r="R7" s="245"/>
      <c r="S7" s="245"/>
      <c r="T7" s="245"/>
    </row>
    <row r="8" spans="1:20" x14ac:dyDescent="0.2">
      <c r="A8" s="235"/>
      <c r="B8" s="254" t="s">
        <v>209</v>
      </c>
      <c r="C8" s="166"/>
      <c r="D8" s="166"/>
      <c r="E8" s="166"/>
      <c r="F8" s="166"/>
      <c r="G8" s="166"/>
      <c r="H8" s="166"/>
      <c r="I8" s="166"/>
      <c r="J8" s="166"/>
      <c r="K8" s="166"/>
      <c r="L8" s="166"/>
      <c r="M8" s="166"/>
      <c r="N8" s="166"/>
      <c r="O8" s="166"/>
      <c r="P8" s="253"/>
      <c r="Q8" s="235"/>
      <c r="R8" s="245"/>
      <c r="S8" s="245"/>
      <c r="T8" s="245"/>
    </row>
    <row r="9" spans="1:20" x14ac:dyDescent="0.2">
      <c r="A9" s="235"/>
      <c r="B9" s="254"/>
      <c r="C9" s="166"/>
      <c r="D9" s="166"/>
      <c r="E9" s="166"/>
      <c r="F9" s="166"/>
      <c r="G9" s="166"/>
      <c r="H9" s="166"/>
      <c r="I9" s="166"/>
      <c r="J9" s="166"/>
      <c r="K9" s="166"/>
      <c r="L9" s="166"/>
      <c r="M9" s="166"/>
      <c r="N9" s="166"/>
      <c r="O9" s="166"/>
      <c r="P9" s="253"/>
      <c r="Q9" s="235"/>
      <c r="R9" s="245"/>
      <c r="S9" s="245"/>
      <c r="T9" s="245"/>
    </row>
    <row r="10" spans="1:20" x14ac:dyDescent="0.2">
      <c r="A10" s="235"/>
      <c r="B10" s="254" t="s">
        <v>210</v>
      </c>
      <c r="C10" s="166"/>
      <c r="D10" s="166"/>
      <c r="E10" s="166"/>
      <c r="F10" s="166"/>
      <c r="G10" s="166"/>
      <c r="H10" s="166"/>
      <c r="I10" s="166"/>
      <c r="J10" s="166"/>
      <c r="K10" s="166"/>
      <c r="L10" s="166"/>
      <c r="M10" s="166"/>
      <c r="N10" s="166"/>
      <c r="O10" s="166"/>
      <c r="P10" s="253"/>
      <c r="Q10" s="235"/>
      <c r="R10" s="245"/>
      <c r="S10" s="245"/>
      <c r="T10" s="245"/>
    </row>
    <row r="11" spans="1:20" x14ac:dyDescent="0.2">
      <c r="A11" s="235"/>
      <c r="B11" s="254"/>
      <c r="C11" s="166"/>
      <c r="D11" s="166"/>
      <c r="E11" s="166"/>
      <c r="F11" s="166"/>
      <c r="G11" s="166"/>
      <c r="H11" s="166"/>
      <c r="I11" s="166"/>
      <c r="J11" s="166"/>
      <c r="K11" s="166"/>
      <c r="L11" s="166"/>
      <c r="M11" s="166"/>
      <c r="N11" s="166"/>
      <c r="O11" s="166"/>
      <c r="P11" s="253"/>
      <c r="Q11" s="235"/>
      <c r="R11" s="245"/>
      <c r="S11" s="245"/>
      <c r="T11" s="245"/>
    </row>
    <row r="12" spans="1:20" x14ac:dyDescent="0.2">
      <c r="A12" s="235"/>
      <c r="B12" s="254" t="s">
        <v>211</v>
      </c>
      <c r="C12" s="166"/>
      <c r="D12" s="166"/>
      <c r="E12" s="166"/>
      <c r="F12" s="166"/>
      <c r="G12" s="166"/>
      <c r="H12" s="166"/>
      <c r="I12" s="166"/>
      <c r="J12" s="166"/>
      <c r="K12" s="166"/>
      <c r="L12" s="166"/>
      <c r="M12" s="166"/>
      <c r="N12" s="166"/>
      <c r="O12" s="166"/>
      <c r="P12" s="253"/>
      <c r="Q12" s="235"/>
      <c r="R12" s="245"/>
      <c r="S12" s="245"/>
      <c r="T12" s="245"/>
    </row>
    <row r="13" spans="1:20" x14ac:dyDescent="0.2">
      <c r="A13" s="235"/>
      <c r="B13" s="254"/>
      <c r="C13" s="166"/>
      <c r="D13" s="166"/>
      <c r="E13" s="166"/>
      <c r="F13" s="166"/>
      <c r="G13" s="166"/>
      <c r="H13" s="166"/>
      <c r="I13" s="166"/>
      <c r="J13" s="166"/>
      <c r="K13" s="166"/>
      <c r="L13" s="166"/>
      <c r="M13" s="166"/>
      <c r="N13" s="166"/>
      <c r="O13" s="166"/>
      <c r="P13" s="253"/>
      <c r="Q13" s="235"/>
      <c r="R13" s="245"/>
      <c r="S13" s="245"/>
      <c r="T13" s="245"/>
    </row>
    <row r="14" spans="1:20" x14ac:dyDescent="0.2">
      <c r="A14" s="235"/>
      <c r="B14" s="254" t="s">
        <v>212</v>
      </c>
      <c r="C14" s="166"/>
      <c r="D14" s="166"/>
      <c r="E14" s="166"/>
      <c r="F14" s="166"/>
      <c r="G14" s="166"/>
      <c r="H14" s="166"/>
      <c r="I14" s="166"/>
      <c r="J14" s="166"/>
      <c r="K14" s="166"/>
      <c r="L14" s="166"/>
      <c r="M14" s="166"/>
      <c r="N14" s="166"/>
      <c r="O14" s="166"/>
      <c r="P14" s="253"/>
      <c r="Q14" s="235"/>
      <c r="R14" s="245"/>
      <c r="S14" s="245"/>
      <c r="T14" s="245"/>
    </row>
    <row r="15" spans="1:20" x14ac:dyDescent="0.2">
      <c r="A15" s="235"/>
      <c r="B15" s="254"/>
      <c r="C15" s="166"/>
      <c r="D15" s="166"/>
      <c r="E15" s="166"/>
      <c r="F15" s="166"/>
      <c r="G15" s="166"/>
      <c r="H15" s="166"/>
      <c r="I15" s="166"/>
      <c r="J15" s="166"/>
      <c r="K15" s="166"/>
      <c r="L15" s="166"/>
      <c r="M15" s="166"/>
      <c r="N15" s="166"/>
      <c r="O15" s="166"/>
      <c r="P15" s="253"/>
      <c r="Q15" s="235"/>
      <c r="R15" s="245"/>
      <c r="S15" s="245"/>
      <c r="T15" s="245"/>
    </row>
    <row r="16" spans="1:20" x14ac:dyDescent="0.2">
      <c r="A16" s="235"/>
      <c r="B16" s="254" t="s">
        <v>213</v>
      </c>
      <c r="C16" s="166"/>
      <c r="D16" s="166"/>
      <c r="E16" s="166"/>
      <c r="F16" s="166"/>
      <c r="G16" s="166"/>
      <c r="H16" s="166"/>
      <c r="I16" s="166"/>
      <c r="J16" s="166"/>
      <c r="K16" s="166"/>
      <c r="L16" s="166"/>
      <c r="M16" s="166"/>
      <c r="N16" s="166"/>
      <c r="O16" s="166"/>
      <c r="P16" s="253"/>
      <c r="Q16" s="235"/>
      <c r="R16" s="245"/>
      <c r="S16" s="245"/>
      <c r="T16" s="245"/>
    </row>
    <row r="17" spans="1:20" x14ac:dyDescent="0.2">
      <c r="A17" s="235"/>
      <c r="B17" s="254"/>
      <c r="C17" s="166"/>
      <c r="D17" s="166"/>
      <c r="E17" s="166"/>
      <c r="F17" s="166"/>
      <c r="G17" s="166"/>
      <c r="H17" s="166"/>
      <c r="I17" s="166"/>
      <c r="J17" s="166"/>
      <c r="K17" s="166"/>
      <c r="L17" s="166"/>
      <c r="M17" s="166"/>
      <c r="N17" s="166"/>
      <c r="O17" s="166"/>
      <c r="P17" s="253"/>
      <c r="Q17" s="235"/>
      <c r="R17" s="245"/>
      <c r="S17" s="245"/>
      <c r="T17" s="245"/>
    </row>
    <row r="18" spans="1:20" ht="28.5" customHeight="1" x14ac:dyDescent="0.2">
      <c r="A18" s="235"/>
      <c r="B18" s="416" t="s">
        <v>214</v>
      </c>
      <c r="C18" s="417"/>
      <c r="D18" s="417"/>
      <c r="E18" s="417"/>
      <c r="F18" s="417"/>
      <c r="G18" s="417"/>
      <c r="H18" s="417"/>
      <c r="I18" s="417"/>
      <c r="J18" s="417"/>
      <c r="K18" s="417"/>
      <c r="L18" s="417"/>
      <c r="M18" s="417"/>
      <c r="N18" s="417"/>
      <c r="O18" s="417"/>
      <c r="P18" s="418"/>
      <c r="Q18" s="235"/>
      <c r="R18" s="245"/>
      <c r="S18" s="245"/>
      <c r="T18" s="245"/>
    </row>
    <row r="19" spans="1:20" x14ac:dyDescent="0.2">
      <c r="A19" s="235"/>
      <c r="B19" s="254"/>
      <c r="C19" s="166"/>
      <c r="D19" s="166"/>
      <c r="E19" s="166"/>
      <c r="F19" s="166"/>
      <c r="G19" s="166"/>
      <c r="H19" s="166"/>
      <c r="I19" s="166"/>
      <c r="J19" s="166"/>
      <c r="K19" s="166"/>
      <c r="L19" s="166"/>
      <c r="M19" s="166"/>
      <c r="N19" s="166"/>
      <c r="O19" s="166"/>
      <c r="P19" s="253"/>
      <c r="Q19" s="235"/>
      <c r="R19" s="245"/>
      <c r="S19" s="245"/>
      <c r="T19" s="245"/>
    </row>
    <row r="20" spans="1:20" ht="33" customHeight="1" x14ac:dyDescent="0.2">
      <c r="A20" s="235"/>
      <c r="B20" s="416" t="s">
        <v>215</v>
      </c>
      <c r="C20" s="417"/>
      <c r="D20" s="417"/>
      <c r="E20" s="417"/>
      <c r="F20" s="417"/>
      <c r="G20" s="417"/>
      <c r="H20" s="417"/>
      <c r="I20" s="417"/>
      <c r="J20" s="417"/>
      <c r="K20" s="417"/>
      <c r="L20" s="417"/>
      <c r="M20" s="417"/>
      <c r="N20" s="417"/>
      <c r="O20" s="417"/>
      <c r="P20" s="418"/>
      <c r="Q20" s="235"/>
      <c r="R20" s="245"/>
      <c r="S20" s="245"/>
      <c r="T20" s="245"/>
    </row>
    <row r="21" spans="1:20" x14ac:dyDescent="0.2">
      <c r="A21" s="235"/>
      <c r="B21" s="254"/>
      <c r="C21" s="166"/>
      <c r="D21" s="166"/>
      <c r="E21" s="166"/>
      <c r="F21" s="166"/>
      <c r="G21" s="166"/>
      <c r="H21" s="166"/>
      <c r="I21" s="166"/>
      <c r="J21" s="166"/>
      <c r="K21" s="166"/>
      <c r="L21" s="166"/>
      <c r="M21" s="166"/>
      <c r="N21" s="166"/>
      <c r="O21" s="166"/>
      <c r="P21" s="253"/>
      <c r="Q21" s="235"/>
      <c r="R21" s="245"/>
      <c r="S21" s="245"/>
      <c r="T21" s="245"/>
    </row>
    <row r="22" spans="1:20" x14ac:dyDescent="0.2">
      <c r="A22" s="235"/>
      <c r="B22" s="254" t="s">
        <v>216</v>
      </c>
      <c r="C22" s="166"/>
      <c r="D22" s="166"/>
      <c r="E22" s="166"/>
      <c r="F22" s="166"/>
      <c r="G22" s="166"/>
      <c r="H22" s="166"/>
      <c r="I22" s="166"/>
      <c r="J22" s="166"/>
      <c r="K22" s="166"/>
      <c r="L22" s="166"/>
      <c r="M22" s="166"/>
      <c r="N22" s="166"/>
      <c r="O22" s="166"/>
      <c r="P22" s="253"/>
      <c r="Q22" s="235"/>
      <c r="R22" s="245"/>
      <c r="S22" s="245"/>
      <c r="T22" s="245"/>
    </row>
    <row r="23" spans="1:20" x14ac:dyDescent="0.2">
      <c r="A23" s="235"/>
      <c r="B23" s="254"/>
      <c r="C23" s="166"/>
      <c r="D23" s="166"/>
      <c r="E23" s="166"/>
      <c r="F23" s="166"/>
      <c r="G23" s="166"/>
      <c r="H23" s="166"/>
      <c r="I23" s="166"/>
      <c r="J23" s="166"/>
      <c r="K23" s="166"/>
      <c r="L23" s="166"/>
      <c r="M23" s="166"/>
      <c r="N23" s="166"/>
      <c r="O23" s="166"/>
      <c r="P23" s="253"/>
      <c r="Q23" s="235"/>
      <c r="R23" s="245"/>
      <c r="S23" s="245"/>
      <c r="T23" s="245"/>
    </row>
    <row r="24" spans="1:20" x14ac:dyDescent="0.2">
      <c r="A24" s="235"/>
      <c r="B24" s="254" t="s">
        <v>217</v>
      </c>
      <c r="C24" s="166"/>
      <c r="D24" s="166"/>
      <c r="E24" s="166"/>
      <c r="F24" s="166"/>
      <c r="G24" s="166"/>
      <c r="H24" s="166"/>
      <c r="I24" s="166"/>
      <c r="J24" s="166"/>
      <c r="K24" s="166"/>
      <c r="L24" s="166"/>
      <c r="M24" s="166"/>
      <c r="N24" s="166"/>
      <c r="O24" s="166"/>
      <c r="P24" s="253"/>
      <c r="Q24" s="235"/>
      <c r="R24" s="245"/>
      <c r="S24" s="245"/>
      <c r="T24" s="245"/>
    </row>
    <row r="25" spans="1:20" x14ac:dyDescent="0.2">
      <c r="A25" s="235"/>
      <c r="B25" s="254"/>
      <c r="C25" s="166"/>
      <c r="D25" s="166"/>
      <c r="E25" s="166"/>
      <c r="F25" s="166"/>
      <c r="G25" s="166"/>
      <c r="H25" s="166"/>
      <c r="I25" s="166"/>
      <c r="J25" s="166"/>
      <c r="K25" s="166"/>
      <c r="L25" s="166"/>
      <c r="M25" s="166"/>
      <c r="N25" s="166"/>
      <c r="O25" s="166"/>
      <c r="P25" s="253"/>
      <c r="Q25" s="235"/>
      <c r="R25" s="245"/>
      <c r="S25" s="245"/>
      <c r="T25" s="245"/>
    </row>
    <row r="26" spans="1:20" x14ac:dyDescent="0.2">
      <c r="A26" s="235"/>
      <c r="B26" s="254" t="s">
        <v>218</v>
      </c>
      <c r="C26" s="166"/>
      <c r="D26" s="166"/>
      <c r="E26" s="166"/>
      <c r="F26" s="166"/>
      <c r="G26" s="166"/>
      <c r="H26" s="166"/>
      <c r="I26" s="166"/>
      <c r="J26" s="166"/>
      <c r="K26" s="166"/>
      <c r="L26" s="166"/>
      <c r="M26" s="166"/>
      <c r="N26" s="166"/>
      <c r="O26" s="166"/>
      <c r="P26" s="253"/>
      <c r="Q26" s="235"/>
      <c r="R26" s="245"/>
      <c r="S26" s="245"/>
      <c r="T26" s="245"/>
    </row>
    <row r="27" spans="1:20" x14ac:dyDescent="0.2">
      <c r="A27" s="235"/>
      <c r="B27" s="254"/>
      <c r="C27" s="166"/>
      <c r="D27" s="166"/>
      <c r="E27" s="166"/>
      <c r="F27" s="166"/>
      <c r="G27" s="166"/>
      <c r="H27" s="166"/>
      <c r="I27" s="166"/>
      <c r="J27" s="166"/>
      <c r="K27" s="166"/>
      <c r="L27" s="166"/>
      <c r="M27" s="166"/>
      <c r="N27" s="166"/>
      <c r="O27" s="166"/>
      <c r="P27" s="253"/>
      <c r="Q27" s="235"/>
      <c r="R27" s="245"/>
      <c r="S27" s="245"/>
      <c r="T27" s="245"/>
    </row>
    <row r="28" spans="1:20" x14ac:dyDescent="0.2">
      <c r="A28" s="235"/>
      <c r="B28" s="254" t="s">
        <v>219</v>
      </c>
      <c r="C28" s="166"/>
      <c r="D28" s="166"/>
      <c r="E28" s="166"/>
      <c r="F28" s="166"/>
      <c r="G28" s="166"/>
      <c r="H28" s="166"/>
      <c r="I28" s="166"/>
      <c r="J28" s="166"/>
      <c r="K28" s="166"/>
      <c r="L28" s="166"/>
      <c r="M28" s="166"/>
      <c r="N28" s="166"/>
      <c r="O28" s="166"/>
      <c r="P28" s="253"/>
      <c r="Q28" s="235"/>
      <c r="R28" s="245"/>
      <c r="S28" s="245"/>
      <c r="T28" s="245"/>
    </row>
    <row r="29" spans="1:20" x14ac:dyDescent="0.2">
      <c r="A29" s="235"/>
      <c r="B29" s="254"/>
      <c r="C29" s="166"/>
      <c r="D29" s="166"/>
      <c r="E29" s="166"/>
      <c r="F29" s="166"/>
      <c r="G29" s="166"/>
      <c r="H29" s="166"/>
      <c r="I29" s="166"/>
      <c r="J29" s="166"/>
      <c r="K29" s="166"/>
      <c r="L29" s="166"/>
      <c r="M29" s="166"/>
      <c r="N29" s="166"/>
      <c r="O29" s="166"/>
      <c r="P29" s="253"/>
      <c r="Q29" s="235"/>
      <c r="R29" s="245"/>
      <c r="S29" s="245"/>
      <c r="T29" s="245"/>
    </row>
    <row r="30" spans="1:20" x14ac:dyDescent="0.2">
      <c r="A30" s="235"/>
      <c r="B30" s="254" t="s">
        <v>220</v>
      </c>
      <c r="C30" s="166"/>
      <c r="D30" s="166"/>
      <c r="E30" s="166"/>
      <c r="F30" s="166"/>
      <c r="G30" s="166"/>
      <c r="H30" s="166"/>
      <c r="I30" s="166"/>
      <c r="J30" s="166"/>
      <c r="K30" s="166"/>
      <c r="L30" s="166"/>
      <c r="M30" s="166"/>
      <c r="N30" s="166"/>
      <c r="O30" s="166"/>
      <c r="P30" s="253"/>
      <c r="Q30" s="235"/>
      <c r="R30" s="245"/>
      <c r="S30" s="245"/>
      <c r="T30" s="245"/>
    </row>
    <row r="31" spans="1:20" x14ac:dyDescent="0.2">
      <c r="A31" s="235"/>
      <c r="B31" s="254"/>
      <c r="C31" s="166"/>
      <c r="D31" s="166"/>
      <c r="E31" s="166"/>
      <c r="F31" s="166"/>
      <c r="G31" s="166"/>
      <c r="H31" s="166"/>
      <c r="I31" s="166"/>
      <c r="J31" s="166"/>
      <c r="K31" s="166"/>
      <c r="L31" s="166"/>
      <c r="M31" s="166"/>
      <c r="N31" s="166"/>
      <c r="O31" s="166"/>
      <c r="P31" s="253"/>
      <c r="Q31" s="235"/>
      <c r="R31" s="245"/>
      <c r="S31" s="245"/>
      <c r="T31" s="245"/>
    </row>
    <row r="32" spans="1:20" x14ac:dyDescent="0.2">
      <c r="A32" s="235"/>
      <c r="B32" s="254" t="s">
        <v>221</v>
      </c>
      <c r="C32" s="166"/>
      <c r="D32" s="166"/>
      <c r="E32" s="166"/>
      <c r="F32" s="166"/>
      <c r="G32" s="166"/>
      <c r="H32" s="166"/>
      <c r="I32" s="166"/>
      <c r="J32" s="166"/>
      <c r="K32" s="166"/>
      <c r="L32" s="166"/>
      <c r="M32" s="166"/>
      <c r="N32" s="166"/>
      <c r="O32" s="166"/>
      <c r="P32" s="253"/>
      <c r="Q32" s="235"/>
      <c r="R32" s="245"/>
      <c r="S32" s="245"/>
      <c r="T32" s="245"/>
    </row>
    <row r="33" spans="1:20" x14ac:dyDescent="0.2">
      <c r="A33" s="235"/>
      <c r="B33" s="254"/>
      <c r="C33" s="166"/>
      <c r="D33" s="166"/>
      <c r="E33" s="166"/>
      <c r="F33" s="166"/>
      <c r="G33" s="166"/>
      <c r="H33" s="166"/>
      <c r="I33" s="166"/>
      <c r="J33" s="166"/>
      <c r="K33" s="166"/>
      <c r="L33" s="166"/>
      <c r="M33" s="166"/>
      <c r="N33" s="166"/>
      <c r="O33" s="166"/>
      <c r="P33" s="253"/>
      <c r="Q33" s="235"/>
      <c r="R33" s="245"/>
      <c r="S33" s="245"/>
      <c r="T33" s="245"/>
    </row>
    <row r="34" spans="1:20" x14ac:dyDescent="0.2">
      <c r="A34" s="235"/>
      <c r="B34" s="254" t="s">
        <v>222</v>
      </c>
      <c r="C34" s="166"/>
      <c r="D34" s="166"/>
      <c r="E34" s="166"/>
      <c r="F34" s="166"/>
      <c r="G34" s="166"/>
      <c r="H34" s="166"/>
      <c r="I34" s="166"/>
      <c r="J34" s="166"/>
      <c r="K34" s="166"/>
      <c r="L34" s="166"/>
      <c r="M34" s="166"/>
      <c r="N34" s="166"/>
      <c r="O34" s="166"/>
      <c r="P34" s="253"/>
      <c r="Q34" s="235"/>
      <c r="R34" s="245"/>
      <c r="S34" s="245"/>
      <c r="T34" s="245"/>
    </row>
    <row r="35" spans="1:20" x14ac:dyDescent="0.2">
      <c r="A35" s="235"/>
      <c r="B35" s="254"/>
      <c r="C35" s="166"/>
      <c r="D35" s="166"/>
      <c r="E35" s="166"/>
      <c r="F35" s="166"/>
      <c r="G35" s="166"/>
      <c r="H35" s="166"/>
      <c r="I35" s="166"/>
      <c r="J35" s="166"/>
      <c r="K35" s="166"/>
      <c r="L35" s="166"/>
      <c r="M35" s="166"/>
      <c r="N35" s="166"/>
      <c r="O35" s="166"/>
      <c r="P35" s="253"/>
      <c r="Q35" s="235"/>
      <c r="R35" s="245"/>
      <c r="S35" s="245"/>
      <c r="T35" s="245"/>
    </row>
    <row r="36" spans="1:20" ht="30" customHeight="1" x14ac:dyDescent="0.2">
      <c r="A36" s="235"/>
      <c r="B36" s="416" t="s">
        <v>296</v>
      </c>
      <c r="C36" s="417"/>
      <c r="D36" s="417"/>
      <c r="E36" s="417"/>
      <c r="F36" s="417"/>
      <c r="G36" s="417"/>
      <c r="H36" s="417"/>
      <c r="I36" s="417"/>
      <c r="J36" s="417"/>
      <c r="K36" s="417"/>
      <c r="L36" s="417"/>
      <c r="M36" s="417"/>
      <c r="N36" s="417"/>
      <c r="O36" s="417"/>
      <c r="P36" s="418"/>
      <c r="Q36" s="235"/>
      <c r="R36" s="245"/>
      <c r="S36" s="245"/>
      <c r="T36" s="245"/>
    </row>
    <row r="37" spans="1:20" x14ac:dyDescent="0.2">
      <c r="A37" s="235"/>
      <c r="B37" s="254"/>
      <c r="C37" s="166"/>
      <c r="D37" s="166"/>
      <c r="E37" s="166"/>
      <c r="F37" s="166"/>
      <c r="G37" s="166"/>
      <c r="H37" s="166"/>
      <c r="I37" s="166"/>
      <c r="J37" s="166"/>
      <c r="K37" s="166"/>
      <c r="L37" s="166"/>
      <c r="M37" s="166"/>
      <c r="N37" s="166"/>
      <c r="O37" s="166"/>
      <c r="P37" s="253"/>
      <c r="Q37" s="235"/>
      <c r="R37" s="245"/>
      <c r="S37" s="245"/>
      <c r="T37" s="245"/>
    </row>
    <row r="38" spans="1:20" x14ac:dyDescent="0.2">
      <c r="A38" s="235"/>
      <c r="B38" s="254" t="s">
        <v>223</v>
      </c>
      <c r="C38" s="166"/>
      <c r="D38" s="166"/>
      <c r="E38" s="166"/>
      <c r="F38" s="166"/>
      <c r="G38" s="166"/>
      <c r="H38" s="166"/>
      <c r="I38" s="166"/>
      <c r="J38" s="166"/>
      <c r="K38" s="166"/>
      <c r="L38" s="166"/>
      <c r="M38" s="166"/>
      <c r="N38" s="166"/>
      <c r="O38" s="166"/>
      <c r="P38" s="253"/>
      <c r="Q38" s="235"/>
      <c r="R38" s="245"/>
      <c r="S38" s="245"/>
      <c r="T38" s="245"/>
    </row>
    <row r="39" spans="1:20" x14ac:dyDescent="0.2">
      <c r="A39" s="235"/>
      <c r="B39" s="254"/>
      <c r="C39" s="166"/>
      <c r="D39" s="166"/>
      <c r="E39" s="166"/>
      <c r="F39" s="166"/>
      <c r="G39" s="166"/>
      <c r="H39" s="166"/>
      <c r="I39" s="166"/>
      <c r="J39" s="166"/>
      <c r="K39" s="166"/>
      <c r="L39" s="166"/>
      <c r="M39" s="166"/>
      <c r="N39" s="166"/>
      <c r="O39" s="166"/>
      <c r="P39" s="253"/>
      <c r="Q39" s="235"/>
      <c r="R39" s="245"/>
      <c r="S39" s="245"/>
      <c r="T39" s="245"/>
    </row>
    <row r="40" spans="1:20" ht="42.75" customHeight="1" x14ac:dyDescent="0.2">
      <c r="A40" s="235"/>
      <c r="B40" s="422" t="s">
        <v>349</v>
      </c>
      <c r="C40" s="423"/>
      <c r="D40" s="423"/>
      <c r="E40" s="423"/>
      <c r="F40" s="423"/>
      <c r="G40" s="423"/>
      <c r="H40" s="423"/>
      <c r="I40" s="423"/>
      <c r="J40" s="423"/>
      <c r="K40" s="423"/>
      <c r="L40" s="423"/>
      <c r="M40" s="423"/>
      <c r="N40" s="423"/>
      <c r="O40" s="423"/>
      <c r="P40" s="424"/>
      <c r="Q40" s="235"/>
      <c r="R40" s="245"/>
      <c r="S40" s="245"/>
      <c r="T40" s="245"/>
    </row>
    <row r="41" spans="1:20" x14ac:dyDescent="0.2">
      <c r="A41" s="235"/>
      <c r="B41" s="254"/>
      <c r="C41" s="166"/>
      <c r="D41" s="166"/>
      <c r="E41" s="166"/>
      <c r="F41" s="166"/>
      <c r="G41" s="166"/>
      <c r="H41" s="166"/>
      <c r="I41" s="166"/>
      <c r="J41" s="166"/>
      <c r="K41" s="166"/>
      <c r="L41" s="166"/>
      <c r="M41" s="166"/>
      <c r="N41" s="166"/>
      <c r="O41" s="166"/>
      <c r="P41" s="253"/>
      <c r="Q41" s="235"/>
      <c r="R41" s="245"/>
      <c r="S41" s="245"/>
      <c r="T41" s="245"/>
    </row>
    <row r="42" spans="1:20" x14ac:dyDescent="0.2">
      <c r="A42" s="235"/>
      <c r="B42" s="428" t="s">
        <v>356</v>
      </c>
      <c r="C42" s="429"/>
      <c r="D42" s="429"/>
      <c r="E42" s="429"/>
      <c r="F42" s="429"/>
      <c r="G42" s="429"/>
      <c r="H42" s="429"/>
      <c r="I42" s="429"/>
      <c r="J42" s="429"/>
      <c r="K42" s="429"/>
      <c r="L42" s="429"/>
      <c r="M42" s="429"/>
      <c r="N42" s="429"/>
      <c r="O42" s="429"/>
      <c r="P42" s="253"/>
      <c r="Q42" s="235"/>
      <c r="R42" s="245"/>
      <c r="S42" s="245"/>
      <c r="T42" s="245"/>
    </row>
    <row r="43" spans="1:20" x14ac:dyDescent="0.2">
      <c r="A43" s="235"/>
      <c r="B43" s="254"/>
      <c r="C43" s="166"/>
      <c r="D43" s="166"/>
      <c r="E43" s="166"/>
      <c r="F43" s="166"/>
      <c r="G43" s="166"/>
      <c r="H43" s="166"/>
      <c r="I43" s="166"/>
      <c r="J43" s="166"/>
      <c r="K43" s="166"/>
      <c r="L43" s="166"/>
      <c r="M43" s="166"/>
      <c r="N43" s="166"/>
      <c r="O43" s="166"/>
      <c r="P43" s="253"/>
      <c r="Q43" s="235"/>
      <c r="R43" s="245"/>
      <c r="S43" s="245"/>
      <c r="T43" s="245"/>
    </row>
    <row r="44" spans="1:20" x14ac:dyDescent="0.2">
      <c r="A44" s="235"/>
      <c r="B44" s="428" t="s">
        <v>355</v>
      </c>
      <c r="C44" s="429"/>
      <c r="D44" s="429"/>
      <c r="E44" s="429"/>
      <c r="F44" s="429"/>
      <c r="G44" s="429"/>
      <c r="H44" s="429"/>
      <c r="I44" s="429"/>
      <c r="J44" s="429"/>
      <c r="K44" s="429"/>
      <c r="L44" s="429"/>
      <c r="M44" s="429"/>
      <c r="N44" s="429"/>
      <c r="O44" s="429"/>
      <c r="P44" s="253"/>
      <c r="Q44" s="235"/>
      <c r="R44" s="245"/>
      <c r="S44" s="245"/>
      <c r="T44" s="245"/>
    </row>
    <row r="45" spans="1:20" x14ac:dyDescent="0.2">
      <c r="A45" s="235"/>
      <c r="B45" s="254"/>
      <c r="C45" s="166"/>
      <c r="D45" s="166"/>
      <c r="E45" s="166"/>
      <c r="F45" s="166"/>
      <c r="G45" s="166"/>
      <c r="H45" s="166"/>
      <c r="I45" s="166"/>
      <c r="J45" s="166"/>
      <c r="K45" s="166"/>
      <c r="L45" s="166"/>
      <c r="M45" s="166"/>
      <c r="N45" s="166"/>
      <c r="O45" s="166"/>
      <c r="P45" s="253"/>
      <c r="Q45" s="235"/>
      <c r="R45" s="245"/>
      <c r="S45" s="245"/>
      <c r="T45" s="245"/>
    </row>
    <row r="46" spans="1:20" ht="52.5" customHeight="1" x14ac:dyDescent="0.2">
      <c r="A46" s="235"/>
      <c r="B46" s="422" t="s">
        <v>350</v>
      </c>
      <c r="C46" s="423"/>
      <c r="D46" s="423"/>
      <c r="E46" s="423"/>
      <c r="F46" s="423"/>
      <c r="G46" s="423"/>
      <c r="H46" s="423"/>
      <c r="I46" s="423"/>
      <c r="J46" s="423"/>
      <c r="K46" s="423"/>
      <c r="L46" s="423"/>
      <c r="M46" s="423"/>
      <c r="N46" s="423"/>
      <c r="O46" s="423"/>
      <c r="P46" s="424"/>
      <c r="Q46" s="235"/>
      <c r="R46" s="245"/>
      <c r="S46" s="245"/>
      <c r="T46" s="245"/>
    </row>
    <row r="47" spans="1:20" x14ac:dyDescent="0.2">
      <c r="A47" s="235"/>
      <c r="B47" s="254"/>
      <c r="C47" s="166"/>
      <c r="D47" s="166"/>
      <c r="E47" s="166"/>
      <c r="F47" s="166"/>
      <c r="G47" s="166"/>
      <c r="H47" s="166"/>
      <c r="I47" s="166"/>
      <c r="J47" s="166"/>
      <c r="K47" s="166"/>
      <c r="L47" s="166"/>
      <c r="M47" s="166"/>
      <c r="N47" s="166"/>
      <c r="O47" s="166"/>
      <c r="P47" s="253"/>
      <c r="Q47" s="235"/>
      <c r="R47" s="245"/>
      <c r="S47" s="245"/>
      <c r="T47" s="245"/>
    </row>
    <row r="48" spans="1:20" ht="55.5" customHeight="1" x14ac:dyDescent="0.2">
      <c r="A48" s="235"/>
      <c r="B48" s="422" t="s">
        <v>351</v>
      </c>
      <c r="C48" s="423"/>
      <c r="D48" s="423"/>
      <c r="E48" s="423"/>
      <c r="F48" s="423"/>
      <c r="G48" s="423"/>
      <c r="H48" s="423"/>
      <c r="I48" s="423"/>
      <c r="J48" s="423"/>
      <c r="K48" s="423"/>
      <c r="L48" s="423"/>
      <c r="M48" s="423"/>
      <c r="N48" s="423"/>
      <c r="O48" s="423"/>
      <c r="P48" s="424"/>
      <c r="Q48" s="235"/>
      <c r="R48" s="245"/>
      <c r="S48" s="245"/>
      <c r="T48" s="245"/>
    </row>
    <row r="49" spans="1:20" x14ac:dyDescent="0.2">
      <c r="A49" s="235"/>
      <c r="B49" s="254"/>
      <c r="C49" s="166"/>
      <c r="D49" s="166"/>
      <c r="E49" s="166"/>
      <c r="F49" s="166"/>
      <c r="G49" s="166"/>
      <c r="H49" s="166"/>
      <c r="I49" s="166"/>
      <c r="J49" s="166"/>
      <c r="K49" s="166"/>
      <c r="L49" s="166"/>
      <c r="M49" s="166"/>
      <c r="N49" s="166"/>
      <c r="O49" s="166"/>
      <c r="P49" s="253"/>
      <c r="Q49" s="235"/>
      <c r="R49" s="245"/>
      <c r="S49" s="245"/>
      <c r="T49" s="245"/>
    </row>
    <row r="50" spans="1:20" ht="48" customHeight="1" x14ac:dyDescent="0.2">
      <c r="A50" s="235"/>
      <c r="B50" s="422" t="s">
        <v>352</v>
      </c>
      <c r="C50" s="423"/>
      <c r="D50" s="423"/>
      <c r="E50" s="423"/>
      <c r="F50" s="423"/>
      <c r="G50" s="423"/>
      <c r="H50" s="423"/>
      <c r="I50" s="423"/>
      <c r="J50" s="423"/>
      <c r="K50" s="423"/>
      <c r="L50" s="423"/>
      <c r="M50" s="423"/>
      <c r="N50" s="423"/>
      <c r="O50" s="423"/>
      <c r="P50" s="424"/>
      <c r="Q50" s="235"/>
      <c r="R50" s="245"/>
      <c r="S50" s="245"/>
      <c r="T50" s="245"/>
    </row>
    <row r="51" spans="1:20" x14ac:dyDescent="0.2">
      <c r="A51" s="235"/>
      <c r="B51" s="254"/>
      <c r="C51" s="166"/>
      <c r="D51" s="166"/>
      <c r="E51" s="166"/>
      <c r="F51" s="166"/>
      <c r="G51" s="166"/>
      <c r="H51" s="166"/>
      <c r="I51" s="166"/>
      <c r="J51" s="166"/>
      <c r="K51" s="166"/>
      <c r="L51" s="166"/>
      <c r="M51" s="166"/>
      <c r="N51" s="166"/>
      <c r="O51" s="166"/>
      <c r="P51" s="253"/>
      <c r="Q51" s="235"/>
      <c r="R51" s="245"/>
      <c r="S51" s="245"/>
      <c r="T51" s="245"/>
    </row>
    <row r="52" spans="1:20" s="248" customFormat="1" ht="37.5" customHeight="1" x14ac:dyDescent="0.2">
      <c r="A52" s="255"/>
      <c r="B52" s="425" t="s">
        <v>284</v>
      </c>
      <c r="C52" s="426"/>
      <c r="D52" s="426"/>
      <c r="E52" s="426"/>
      <c r="F52" s="426"/>
      <c r="G52" s="426"/>
      <c r="H52" s="426"/>
      <c r="I52" s="426"/>
      <c r="J52" s="426"/>
      <c r="K52" s="426"/>
      <c r="L52" s="426"/>
      <c r="M52" s="426"/>
      <c r="N52" s="426"/>
      <c r="O52" s="426"/>
      <c r="P52" s="427"/>
      <c r="Q52" s="255"/>
      <c r="R52" s="247"/>
      <c r="S52" s="247"/>
      <c r="T52" s="247"/>
    </row>
    <row r="53" spans="1:20" x14ac:dyDescent="0.2">
      <c r="A53" s="235"/>
      <c r="B53" s="254"/>
      <c r="C53" s="166"/>
      <c r="D53" s="166"/>
      <c r="E53" s="166"/>
      <c r="F53" s="166"/>
      <c r="G53" s="166"/>
      <c r="H53" s="166"/>
      <c r="I53" s="166"/>
      <c r="J53" s="166"/>
      <c r="K53" s="166"/>
      <c r="L53" s="166"/>
      <c r="M53" s="166"/>
      <c r="N53" s="166"/>
      <c r="O53" s="166"/>
      <c r="P53" s="253"/>
      <c r="Q53" s="235"/>
      <c r="R53" s="245"/>
      <c r="S53" s="245"/>
      <c r="T53" s="245"/>
    </row>
    <row r="54" spans="1:20" x14ac:dyDescent="0.2">
      <c r="A54" s="235"/>
      <c r="B54" s="428" t="s">
        <v>353</v>
      </c>
      <c r="C54" s="429"/>
      <c r="D54" s="429"/>
      <c r="E54" s="429"/>
      <c r="F54" s="429"/>
      <c r="G54" s="429"/>
      <c r="H54" s="429"/>
      <c r="I54" s="429"/>
      <c r="J54" s="429"/>
      <c r="K54" s="429"/>
      <c r="L54" s="429"/>
      <c r="M54" s="429"/>
      <c r="N54" s="429"/>
      <c r="O54" s="429"/>
      <c r="P54" s="253"/>
      <c r="Q54" s="235"/>
      <c r="R54" s="245"/>
      <c r="S54" s="245"/>
      <c r="T54" s="245"/>
    </row>
    <row r="55" spans="1:20" x14ac:dyDescent="0.2">
      <c r="A55" s="235"/>
      <c r="B55" s="254"/>
      <c r="C55" s="166"/>
      <c r="D55" s="166"/>
      <c r="E55" s="166"/>
      <c r="F55" s="166"/>
      <c r="G55" s="166"/>
      <c r="H55" s="166"/>
      <c r="I55" s="166"/>
      <c r="J55" s="166"/>
      <c r="K55" s="166"/>
      <c r="L55" s="166"/>
      <c r="M55" s="166"/>
      <c r="N55" s="166"/>
      <c r="O55" s="166"/>
      <c r="P55" s="253"/>
      <c r="Q55" s="235"/>
      <c r="R55" s="245"/>
      <c r="S55" s="245"/>
      <c r="T55" s="245"/>
    </row>
    <row r="56" spans="1:20" x14ac:dyDescent="0.2">
      <c r="A56" s="235"/>
      <c r="B56" s="428" t="s">
        <v>354</v>
      </c>
      <c r="C56" s="429"/>
      <c r="D56" s="429"/>
      <c r="E56" s="429"/>
      <c r="F56" s="429"/>
      <c r="G56" s="429"/>
      <c r="H56" s="429"/>
      <c r="I56" s="429"/>
      <c r="J56" s="429"/>
      <c r="K56" s="429"/>
      <c r="L56" s="429"/>
      <c r="M56" s="429"/>
      <c r="N56" s="429"/>
      <c r="O56" s="429"/>
      <c r="P56" s="253"/>
      <c r="Q56" s="235"/>
      <c r="R56" s="245"/>
      <c r="S56" s="245"/>
      <c r="T56" s="245"/>
    </row>
    <row r="57" spans="1:20" x14ac:dyDescent="0.2">
      <c r="A57" s="235"/>
      <c r="B57" s="254"/>
      <c r="C57" s="166"/>
      <c r="D57" s="166"/>
      <c r="E57" s="166"/>
      <c r="F57" s="166"/>
      <c r="G57" s="166"/>
      <c r="H57" s="166"/>
      <c r="I57" s="166"/>
      <c r="J57" s="166"/>
      <c r="K57" s="166"/>
      <c r="L57" s="166"/>
      <c r="M57" s="166"/>
      <c r="N57" s="166"/>
      <c r="O57" s="166"/>
      <c r="P57" s="253"/>
      <c r="Q57" s="235"/>
      <c r="R57" s="245"/>
      <c r="S57" s="245"/>
      <c r="T57" s="245"/>
    </row>
    <row r="58" spans="1:20" x14ac:dyDescent="0.2">
      <c r="A58" s="235"/>
      <c r="B58" s="254" t="s">
        <v>223</v>
      </c>
      <c r="C58" s="166"/>
      <c r="D58" s="166"/>
      <c r="E58" s="166"/>
      <c r="F58" s="166"/>
      <c r="G58" s="166"/>
      <c r="H58" s="166"/>
      <c r="I58" s="166"/>
      <c r="J58" s="166"/>
      <c r="K58" s="166"/>
      <c r="L58" s="166"/>
      <c r="M58" s="166"/>
      <c r="N58" s="166"/>
      <c r="O58" s="166"/>
      <c r="P58" s="253"/>
      <c r="Q58" s="235"/>
      <c r="R58" s="245"/>
      <c r="S58" s="245"/>
      <c r="T58" s="245"/>
    </row>
    <row r="59" spans="1:20" x14ac:dyDescent="0.2">
      <c r="A59" s="235"/>
      <c r="B59" s="254" t="s">
        <v>224</v>
      </c>
      <c r="C59" s="166"/>
      <c r="D59" s="166"/>
      <c r="E59" s="166"/>
      <c r="F59" s="166"/>
      <c r="G59" s="166"/>
      <c r="H59" s="166"/>
      <c r="I59" s="166"/>
      <c r="J59" s="166"/>
      <c r="K59" s="166"/>
      <c r="L59" s="166"/>
      <c r="M59" s="166"/>
      <c r="N59" s="166"/>
      <c r="O59" s="166"/>
      <c r="P59" s="253"/>
      <c r="Q59" s="235"/>
      <c r="R59" s="245"/>
      <c r="S59" s="245"/>
      <c r="T59" s="245"/>
    </row>
    <row r="60" spans="1:20" x14ac:dyDescent="0.2">
      <c r="A60" s="235"/>
      <c r="B60" s="254"/>
      <c r="C60" s="166"/>
      <c r="D60" s="166"/>
      <c r="E60" s="166"/>
      <c r="F60" s="166"/>
      <c r="G60" s="166"/>
      <c r="H60" s="166"/>
      <c r="I60" s="166"/>
      <c r="J60" s="166"/>
      <c r="K60" s="166"/>
      <c r="L60" s="166"/>
      <c r="M60" s="166"/>
      <c r="N60" s="166"/>
      <c r="O60" s="166"/>
      <c r="P60" s="253"/>
      <c r="Q60" s="235"/>
      <c r="R60" s="245"/>
      <c r="S60" s="245"/>
      <c r="T60" s="245"/>
    </row>
    <row r="61" spans="1:20" ht="63.75" customHeight="1" x14ac:dyDescent="0.2">
      <c r="A61" s="235"/>
      <c r="B61" s="422" t="s">
        <v>287</v>
      </c>
      <c r="C61" s="423"/>
      <c r="D61" s="423"/>
      <c r="E61" s="423"/>
      <c r="F61" s="423"/>
      <c r="G61" s="423"/>
      <c r="H61" s="423"/>
      <c r="I61" s="423"/>
      <c r="J61" s="423"/>
      <c r="K61" s="423"/>
      <c r="L61" s="423"/>
      <c r="M61" s="423"/>
      <c r="N61" s="423"/>
      <c r="O61" s="423"/>
      <c r="P61" s="424"/>
      <c r="Q61" s="235"/>
      <c r="R61" s="245"/>
      <c r="S61" s="245"/>
      <c r="T61" s="245"/>
    </row>
    <row r="62" spans="1:20" x14ac:dyDescent="0.2">
      <c r="A62" s="235"/>
      <c r="B62" s="254"/>
      <c r="C62" s="166"/>
      <c r="D62" s="166"/>
      <c r="E62" s="166"/>
      <c r="F62" s="166"/>
      <c r="G62" s="166"/>
      <c r="H62" s="166"/>
      <c r="I62" s="166"/>
      <c r="J62" s="166"/>
      <c r="K62" s="166"/>
      <c r="L62" s="166"/>
      <c r="M62" s="166"/>
      <c r="N62" s="166"/>
      <c r="O62" s="166"/>
      <c r="P62" s="253"/>
      <c r="Q62" s="235"/>
      <c r="R62" s="245"/>
      <c r="S62" s="245"/>
      <c r="T62" s="245"/>
    </row>
    <row r="63" spans="1:20" ht="42" customHeight="1" x14ac:dyDescent="0.2">
      <c r="A63" s="235"/>
      <c r="B63" s="422" t="s">
        <v>225</v>
      </c>
      <c r="C63" s="423"/>
      <c r="D63" s="423"/>
      <c r="E63" s="423"/>
      <c r="F63" s="423"/>
      <c r="G63" s="423"/>
      <c r="H63" s="423"/>
      <c r="I63" s="423"/>
      <c r="J63" s="423"/>
      <c r="K63" s="423"/>
      <c r="L63" s="423"/>
      <c r="M63" s="423"/>
      <c r="N63" s="423"/>
      <c r="O63" s="423"/>
      <c r="P63" s="424"/>
      <c r="Q63" s="235"/>
      <c r="R63" s="245"/>
      <c r="S63" s="245"/>
      <c r="T63" s="245"/>
    </row>
    <row r="64" spans="1:20" ht="13.5" thickBot="1" x14ac:dyDescent="0.25">
      <c r="A64" s="235"/>
      <c r="B64" s="254"/>
      <c r="C64" s="166"/>
      <c r="D64" s="166"/>
      <c r="E64" s="166"/>
      <c r="F64" s="166"/>
      <c r="G64" s="166"/>
      <c r="H64" s="166"/>
      <c r="I64" s="166"/>
      <c r="J64" s="166"/>
      <c r="K64" s="166"/>
      <c r="L64" s="166"/>
      <c r="M64" s="166"/>
      <c r="N64" s="166"/>
      <c r="O64" s="166"/>
      <c r="P64" s="253"/>
      <c r="Q64" s="235"/>
      <c r="R64" s="245"/>
      <c r="S64" s="245"/>
      <c r="T64" s="245"/>
    </row>
    <row r="65" spans="1:20" ht="13.5" thickBot="1" x14ac:dyDescent="0.25">
      <c r="A65" s="235"/>
      <c r="B65" s="419" t="s">
        <v>226</v>
      </c>
      <c r="C65" s="420"/>
      <c r="D65" s="420"/>
      <c r="E65" s="420"/>
      <c r="F65" s="420"/>
      <c r="G65" s="420"/>
      <c r="H65" s="420"/>
      <c r="I65" s="420"/>
      <c r="J65" s="420"/>
      <c r="K65" s="421"/>
      <c r="L65" s="166"/>
      <c r="M65" s="166"/>
      <c r="N65" s="166"/>
      <c r="O65" s="166"/>
      <c r="P65" s="253"/>
      <c r="Q65" s="235"/>
      <c r="R65" s="245"/>
      <c r="S65" s="245"/>
      <c r="T65" s="245"/>
    </row>
    <row r="66" spans="1:20" ht="33.75" x14ac:dyDescent="0.2">
      <c r="A66" s="235"/>
      <c r="B66" s="414" t="s">
        <v>227</v>
      </c>
      <c r="C66" s="412" t="s">
        <v>228</v>
      </c>
      <c r="D66" s="412" t="s">
        <v>229</v>
      </c>
      <c r="E66" s="412" t="s">
        <v>230</v>
      </c>
      <c r="F66" s="412" t="s">
        <v>231</v>
      </c>
      <c r="G66" s="412" t="s">
        <v>232</v>
      </c>
      <c r="H66" s="412" t="s">
        <v>233</v>
      </c>
      <c r="I66" s="266" t="s">
        <v>234</v>
      </c>
      <c r="J66" s="266" t="s">
        <v>236</v>
      </c>
      <c r="K66" s="266" t="s">
        <v>237</v>
      </c>
      <c r="L66" s="166"/>
      <c r="M66" s="166"/>
      <c r="N66" s="166"/>
      <c r="O66" s="166"/>
      <c r="P66" s="253"/>
      <c r="Q66" s="235"/>
      <c r="R66" s="245"/>
      <c r="S66" s="245"/>
      <c r="T66" s="245"/>
    </row>
    <row r="67" spans="1:20" ht="13.5" thickBot="1" x14ac:dyDescent="0.25">
      <c r="A67" s="235"/>
      <c r="B67" s="415"/>
      <c r="C67" s="413"/>
      <c r="D67" s="413"/>
      <c r="E67" s="413"/>
      <c r="F67" s="413"/>
      <c r="G67" s="413"/>
      <c r="H67" s="413"/>
      <c r="I67" s="267" t="s">
        <v>235</v>
      </c>
      <c r="J67" s="267" t="s">
        <v>235</v>
      </c>
      <c r="K67" s="267" t="s">
        <v>235</v>
      </c>
      <c r="L67" s="166"/>
      <c r="M67" s="166"/>
      <c r="N67" s="166"/>
      <c r="O67" s="166"/>
      <c r="P67" s="253"/>
      <c r="Q67" s="235"/>
      <c r="R67" s="245"/>
      <c r="S67" s="245"/>
      <c r="T67" s="245"/>
    </row>
    <row r="68" spans="1:20" ht="13.5" thickBot="1" x14ac:dyDescent="0.25">
      <c r="A68" s="235"/>
      <c r="B68" s="268" t="s">
        <v>301</v>
      </c>
      <c r="C68" s="269" t="s">
        <v>301</v>
      </c>
      <c r="D68" s="269" t="s">
        <v>302</v>
      </c>
      <c r="E68" s="269" t="s">
        <v>303</v>
      </c>
      <c r="F68" s="269" t="s">
        <v>5</v>
      </c>
      <c r="G68" s="269" t="s">
        <v>304</v>
      </c>
      <c r="H68" s="269" t="s">
        <v>305</v>
      </c>
      <c r="I68" s="269" t="s">
        <v>306</v>
      </c>
      <c r="J68" s="269" t="s">
        <v>301</v>
      </c>
      <c r="K68" s="269" t="s">
        <v>5</v>
      </c>
      <c r="L68" s="166"/>
      <c r="M68" s="166"/>
      <c r="N68" s="166"/>
      <c r="O68" s="166"/>
      <c r="P68" s="253"/>
      <c r="Q68" s="235"/>
      <c r="R68" s="245"/>
      <c r="S68" s="245"/>
      <c r="T68" s="245"/>
    </row>
    <row r="69" spans="1:20" x14ac:dyDescent="0.2">
      <c r="A69" s="235"/>
      <c r="B69" s="254"/>
      <c r="C69" s="166"/>
      <c r="D69" s="166"/>
      <c r="E69" s="166"/>
      <c r="F69" s="166"/>
      <c r="G69" s="166"/>
      <c r="H69" s="166"/>
      <c r="I69" s="166"/>
      <c r="J69" s="166"/>
      <c r="K69" s="166"/>
      <c r="L69" s="166"/>
      <c r="M69" s="166"/>
      <c r="N69" s="166"/>
      <c r="O69" s="166"/>
      <c r="P69" s="253"/>
      <c r="Q69" s="235"/>
      <c r="R69" s="245"/>
      <c r="S69" s="245"/>
      <c r="T69" s="245"/>
    </row>
    <row r="70" spans="1:20" x14ac:dyDescent="0.2">
      <c r="A70" s="235"/>
      <c r="B70" s="254" t="s">
        <v>223</v>
      </c>
      <c r="C70" s="166"/>
      <c r="D70" s="166"/>
      <c r="E70" s="166"/>
      <c r="F70" s="166"/>
      <c r="G70" s="166"/>
      <c r="H70" s="166"/>
      <c r="I70" s="166"/>
      <c r="J70" s="166"/>
      <c r="K70" s="166"/>
      <c r="L70" s="166"/>
      <c r="M70" s="166"/>
      <c r="N70" s="166"/>
      <c r="O70" s="166"/>
      <c r="P70" s="253"/>
      <c r="Q70" s="235"/>
      <c r="R70" s="245"/>
      <c r="S70" s="245"/>
      <c r="T70" s="245"/>
    </row>
    <row r="71" spans="1:20" x14ac:dyDescent="0.2">
      <c r="A71" s="235"/>
      <c r="B71" s="254" t="s">
        <v>224</v>
      </c>
      <c r="C71" s="166"/>
      <c r="D71" s="166"/>
      <c r="E71" s="166"/>
      <c r="F71" s="166"/>
      <c r="G71" s="166"/>
      <c r="H71" s="166"/>
      <c r="I71" s="166"/>
      <c r="J71" s="166"/>
      <c r="K71" s="166"/>
      <c r="L71" s="166"/>
      <c r="M71" s="166"/>
      <c r="N71" s="166"/>
      <c r="O71" s="166"/>
      <c r="P71" s="253"/>
      <c r="Q71" s="235"/>
      <c r="R71" s="245"/>
      <c r="S71" s="245"/>
      <c r="T71" s="245"/>
    </row>
    <row r="72" spans="1:20" x14ac:dyDescent="0.2">
      <c r="A72" s="235"/>
      <c r="B72" s="254"/>
      <c r="C72" s="166"/>
      <c r="D72" s="166"/>
      <c r="E72" s="166"/>
      <c r="F72" s="166"/>
      <c r="G72" s="166"/>
      <c r="H72" s="166"/>
      <c r="I72" s="166"/>
      <c r="J72" s="166"/>
      <c r="K72" s="166"/>
      <c r="L72" s="166"/>
      <c r="M72" s="166"/>
      <c r="N72" s="166"/>
      <c r="O72" s="166"/>
      <c r="P72" s="253"/>
      <c r="Q72" s="235"/>
      <c r="R72" s="245"/>
      <c r="S72" s="245"/>
      <c r="T72" s="245"/>
    </row>
    <row r="73" spans="1:20" ht="69.75" customHeight="1" x14ac:dyDescent="0.2">
      <c r="A73" s="235"/>
      <c r="B73" s="422" t="s">
        <v>286</v>
      </c>
      <c r="C73" s="430"/>
      <c r="D73" s="430"/>
      <c r="E73" s="430"/>
      <c r="F73" s="430"/>
      <c r="G73" s="430"/>
      <c r="H73" s="430"/>
      <c r="I73" s="430"/>
      <c r="J73" s="430"/>
      <c r="K73" s="430"/>
      <c r="L73" s="430"/>
      <c r="M73" s="430"/>
      <c r="N73" s="430"/>
      <c r="O73" s="430"/>
      <c r="P73" s="431"/>
      <c r="Q73" s="235"/>
      <c r="R73" s="245"/>
      <c r="S73" s="245"/>
      <c r="T73" s="245"/>
    </row>
    <row r="74" spans="1:20" x14ac:dyDescent="0.2">
      <c r="A74" s="235"/>
      <c r="B74" s="254"/>
      <c r="C74" s="166"/>
      <c r="D74" s="166"/>
      <c r="E74" s="166"/>
      <c r="F74" s="166"/>
      <c r="G74" s="166"/>
      <c r="H74" s="166"/>
      <c r="I74" s="166"/>
      <c r="J74" s="166"/>
      <c r="K74" s="166"/>
      <c r="L74" s="166"/>
      <c r="M74" s="166"/>
      <c r="N74" s="166"/>
      <c r="O74" s="166"/>
      <c r="P74" s="253"/>
      <c r="Q74" s="235"/>
      <c r="R74" s="245"/>
      <c r="S74" s="245"/>
      <c r="T74" s="245"/>
    </row>
    <row r="75" spans="1:20" x14ac:dyDescent="0.2">
      <c r="A75" s="235"/>
      <c r="B75" s="254" t="s">
        <v>223</v>
      </c>
      <c r="C75" s="166"/>
      <c r="D75" s="166"/>
      <c r="E75" s="166"/>
      <c r="F75" s="166"/>
      <c r="G75" s="166"/>
      <c r="H75" s="166"/>
      <c r="I75" s="166"/>
      <c r="J75" s="166"/>
      <c r="K75" s="166"/>
      <c r="L75" s="166"/>
      <c r="M75" s="166"/>
      <c r="N75" s="166"/>
      <c r="O75" s="166"/>
      <c r="P75" s="253"/>
      <c r="Q75" s="235"/>
      <c r="R75" s="245"/>
      <c r="S75" s="245"/>
      <c r="T75" s="245"/>
    </row>
    <row r="76" spans="1:20" x14ac:dyDescent="0.2">
      <c r="A76" s="235"/>
      <c r="B76" s="254" t="s">
        <v>224</v>
      </c>
      <c r="C76" s="166"/>
      <c r="D76" s="166"/>
      <c r="E76" s="166"/>
      <c r="F76" s="166"/>
      <c r="G76" s="166"/>
      <c r="H76" s="166"/>
      <c r="I76" s="166"/>
      <c r="J76" s="166"/>
      <c r="K76" s="166"/>
      <c r="L76" s="166"/>
      <c r="M76" s="166"/>
      <c r="N76" s="166"/>
      <c r="O76" s="166"/>
      <c r="P76" s="253"/>
      <c r="Q76" s="235"/>
      <c r="R76" s="245"/>
      <c r="S76" s="245"/>
      <c r="T76" s="245"/>
    </row>
    <row r="77" spans="1:20" x14ac:dyDescent="0.2">
      <c r="A77" s="235"/>
      <c r="B77" s="254"/>
      <c r="C77" s="166"/>
      <c r="D77" s="166"/>
      <c r="E77" s="166"/>
      <c r="F77" s="166"/>
      <c r="G77" s="166"/>
      <c r="H77" s="166"/>
      <c r="I77" s="166"/>
      <c r="J77" s="166"/>
      <c r="K77" s="166"/>
      <c r="L77" s="166"/>
      <c r="M77" s="166"/>
      <c r="N77" s="166"/>
      <c r="O77" s="166"/>
      <c r="P77" s="253"/>
      <c r="Q77" s="235"/>
      <c r="R77" s="245"/>
      <c r="S77" s="245"/>
      <c r="T77" s="245"/>
    </row>
    <row r="78" spans="1:20" x14ac:dyDescent="0.2">
      <c r="A78" s="235"/>
      <c r="B78" s="254" t="s">
        <v>285</v>
      </c>
      <c r="C78" s="166"/>
      <c r="D78" s="166"/>
      <c r="E78" s="166"/>
      <c r="F78" s="166"/>
      <c r="G78" s="166"/>
      <c r="H78" s="166"/>
      <c r="I78" s="166"/>
      <c r="J78" s="166"/>
      <c r="K78" s="166"/>
      <c r="L78" s="166"/>
      <c r="M78" s="166"/>
      <c r="N78" s="166"/>
      <c r="O78" s="166"/>
      <c r="P78" s="253"/>
      <c r="Q78" s="235"/>
      <c r="R78" s="245"/>
      <c r="S78" s="245"/>
      <c r="T78" s="245"/>
    </row>
    <row r="79" spans="1:20" ht="41.25" customHeight="1" x14ac:dyDescent="0.2">
      <c r="A79" s="235"/>
      <c r="B79" s="422" t="s">
        <v>238</v>
      </c>
      <c r="C79" s="430"/>
      <c r="D79" s="430"/>
      <c r="E79" s="430"/>
      <c r="F79" s="430"/>
      <c r="G79" s="430"/>
      <c r="H79" s="430"/>
      <c r="I79" s="430"/>
      <c r="J79" s="430"/>
      <c r="K79" s="430"/>
      <c r="L79" s="430"/>
      <c r="M79" s="430"/>
      <c r="N79" s="430"/>
      <c r="O79" s="430"/>
      <c r="P79" s="431"/>
      <c r="Q79" s="235"/>
      <c r="R79" s="245"/>
      <c r="S79" s="245"/>
      <c r="T79" s="245"/>
    </row>
    <row r="80" spans="1:20" x14ac:dyDescent="0.2">
      <c r="A80" s="235"/>
      <c r="B80" s="254"/>
      <c r="C80" s="166"/>
      <c r="D80" s="166"/>
      <c r="E80" s="166"/>
      <c r="F80" s="166"/>
      <c r="G80" s="166"/>
      <c r="H80" s="166"/>
      <c r="I80" s="166"/>
      <c r="J80" s="166"/>
      <c r="K80" s="166"/>
      <c r="L80" s="166"/>
      <c r="M80" s="166"/>
      <c r="N80" s="166"/>
      <c r="O80" s="166"/>
      <c r="P80" s="253"/>
      <c r="Q80" s="235"/>
      <c r="R80" s="245"/>
      <c r="S80" s="245"/>
      <c r="T80" s="245"/>
    </row>
    <row r="81" spans="1:20" x14ac:dyDescent="0.2">
      <c r="A81" s="235"/>
      <c r="B81" s="254" t="s">
        <v>223</v>
      </c>
      <c r="C81" s="166"/>
      <c r="D81" s="166"/>
      <c r="E81" s="166"/>
      <c r="F81" s="166"/>
      <c r="G81" s="166"/>
      <c r="H81" s="166"/>
      <c r="I81" s="166"/>
      <c r="J81" s="166"/>
      <c r="K81" s="166"/>
      <c r="L81" s="166"/>
      <c r="M81" s="166"/>
      <c r="N81" s="166"/>
      <c r="O81" s="166"/>
      <c r="P81" s="253"/>
      <c r="Q81" s="235"/>
      <c r="R81" s="245"/>
      <c r="S81" s="245"/>
      <c r="T81" s="245"/>
    </row>
    <row r="82" spans="1:20" x14ac:dyDescent="0.2">
      <c r="A82" s="235"/>
      <c r="B82" s="254" t="s">
        <v>224</v>
      </c>
      <c r="C82" s="166"/>
      <c r="D82" s="166"/>
      <c r="E82" s="166"/>
      <c r="F82" s="166"/>
      <c r="G82" s="166"/>
      <c r="H82" s="166"/>
      <c r="I82" s="166"/>
      <c r="J82" s="166"/>
      <c r="K82" s="166"/>
      <c r="L82" s="166"/>
      <c r="M82" s="166"/>
      <c r="N82" s="166"/>
      <c r="O82" s="166"/>
      <c r="P82" s="253"/>
      <c r="Q82" s="235"/>
      <c r="R82" s="245"/>
      <c r="S82" s="245"/>
      <c r="T82" s="245"/>
    </row>
    <row r="83" spans="1:20" x14ac:dyDescent="0.2">
      <c r="A83" s="235"/>
      <c r="B83" s="254"/>
      <c r="C83" s="166"/>
      <c r="D83" s="166"/>
      <c r="E83" s="166"/>
      <c r="F83" s="166"/>
      <c r="G83" s="166"/>
      <c r="H83" s="166"/>
      <c r="I83" s="166"/>
      <c r="J83" s="166"/>
      <c r="K83" s="166"/>
      <c r="L83" s="166"/>
      <c r="M83" s="166"/>
      <c r="N83" s="166"/>
      <c r="O83" s="166"/>
      <c r="P83" s="253"/>
      <c r="Q83" s="235"/>
      <c r="R83" s="245"/>
      <c r="S83" s="245"/>
      <c r="T83" s="245"/>
    </row>
    <row r="84" spans="1:20" x14ac:dyDescent="0.2">
      <c r="A84" s="235"/>
      <c r="B84" s="254" t="s">
        <v>239</v>
      </c>
      <c r="C84" s="166"/>
      <c r="D84" s="166"/>
      <c r="E84" s="166"/>
      <c r="F84" s="166"/>
      <c r="G84" s="166"/>
      <c r="H84" s="166"/>
      <c r="I84" s="166"/>
      <c r="J84" s="166"/>
      <c r="K84" s="166"/>
      <c r="L84" s="166"/>
      <c r="M84" s="166"/>
      <c r="N84" s="166"/>
      <c r="O84" s="166"/>
      <c r="P84" s="253"/>
      <c r="Q84" s="235"/>
      <c r="R84" s="245"/>
      <c r="S84" s="245"/>
      <c r="T84" s="245"/>
    </row>
    <row r="85" spans="1:20" x14ac:dyDescent="0.2">
      <c r="A85" s="235"/>
      <c r="B85" s="254"/>
      <c r="C85" s="166"/>
      <c r="D85" s="166"/>
      <c r="E85" s="166"/>
      <c r="F85" s="166"/>
      <c r="G85" s="166"/>
      <c r="H85" s="166"/>
      <c r="I85" s="166"/>
      <c r="J85" s="166"/>
      <c r="K85" s="166"/>
      <c r="L85" s="166"/>
      <c r="M85" s="166"/>
      <c r="N85" s="166"/>
      <c r="O85" s="166"/>
      <c r="P85" s="253"/>
      <c r="Q85" s="235"/>
      <c r="R85" s="245"/>
      <c r="S85" s="245"/>
      <c r="T85" s="245"/>
    </row>
    <row r="86" spans="1:20" ht="15.75" x14ac:dyDescent="0.25">
      <c r="A86" s="235"/>
      <c r="B86" s="264" t="s">
        <v>297</v>
      </c>
      <c r="C86" s="166"/>
      <c r="D86" s="166"/>
      <c r="E86" s="166"/>
      <c r="F86" s="166"/>
      <c r="G86" s="166"/>
      <c r="H86" s="166"/>
      <c r="I86" s="166"/>
      <c r="J86" s="166"/>
      <c r="K86" s="166"/>
      <c r="L86" s="166"/>
      <c r="M86" s="166"/>
      <c r="N86" s="166"/>
      <c r="O86" s="166"/>
      <c r="P86" s="253"/>
      <c r="Q86" s="235"/>
      <c r="R86" s="245"/>
      <c r="S86" s="245"/>
      <c r="T86" s="245"/>
    </row>
    <row r="87" spans="1:20" x14ac:dyDescent="0.2">
      <c r="A87" s="235"/>
      <c r="B87" s="254" t="s">
        <v>240</v>
      </c>
      <c r="C87" s="166"/>
      <c r="D87" s="166"/>
      <c r="E87" s="166"/>
      <c r="F87" s="166"/>
      <c r="G87" s="166"/>
      <c r="H87" s="166"/>
      <c r="I87" s="166"/>
      <c r="J87" s="166"/>
      <c r="K87" s="166"/>
      <c r="L87" s="166"/>
      <c r="M87" s="166"/>
      <c r="N87" s="166"/>
      <c r="O87" s="166"/>
      <c r="P87" s="253"/>
      <c r="Q87" s="235"/>
      <c r="R87" s="245"/>
      <c r="S87" s="245"/>
      <c r="T87" s="245"/>
    </row>
    <row r="88" spans="1:20" ht="32.25" customHeight="1" x14ac:dyDescent="0.2">
      <c r="A88" s="235"/>
      <c r="B88" s="422" t="s">
        <v>241</v>
      </c>
      <c r="C88" s="430"/>
      <c r="D88" s="430"/>
      <c r="E88" s="430"/>
      <c r="F88" s="430"/>
      <c r="G88" s="430"/>
      <c r="H88" s="430"/>
      <c r="I88" s="430"/>
      <c r="J88" s="430"/>
      <c r="K88" s="430"/>
      <c r="L88" s="430"/>
      <c r="M88" s="430"/>
      <c r="N88" s="430"/>
      <c r="O88" s="430"/>
      <c r="P88" s="431"/>
      <c r="Q88" s="235"/>
      <c r="R88" s="245"/>
      <c r="S88" s="245"/>
      <c r="T88" s="245"/>
    </row>
    <row r="89" spans="1:20" x14ac:dyDescent="0.2">
      <c r="A89" s="235"/>
      <c r="B89" s="254"/>
      <c r="C89" s="166"/>
      <c r="D89" s="166"/>
      <c r="E89" s="166"/>
      <c r="F89" s="166"/>
      <c r="G89" s="166"/>
      <c r="H89" s="166"/>
      <c r="I89" s="166"/>
      <c r="J89" s="166"/>
      <c r="K89" s="166"/>
      <c r="L89" s="166"/>
      <c r="M89" s="166"/>
      <c r="N89" s="166"/>
      <c r="O89" s="166"/>
      <c r="P89" s="253"/>
      <c r="Q89" s="235"/>
      <c r="R89" s="245"/>
      <c r="S89" s="245"/>
      <c r="T89" s="245"/>
    </row>
    <row r="90" spans="1:20" x14ac:dyDescent="0.2">
      <c r="A90" s="235"/>
      <c r="B90" s="254" t="s">
        <v>242</v>
      </c>
      <c r="C90" s="166"/>
      <c r="D90" s="166"/>
      <c r="E90" s="166"/>
      <c r="F90" s="166"/>
      <c r="G90" s="166"/>
      <c r="H90" s="166"/>
      <c r="I90" s="166"/>
      <c r="J90" s="166"/>
      <c r="K90" s="166"/>
      <c r="L90" s="166"/>
      <c r="M90" s="166"/>
      <c r="N90" s="166"/>
      <c r="O90" s="166"/>
      <c r="P90" s="253"/>
      <c r="Q90" s="235"/>
      <c r="R90" s="245"/>
      <c r="S90" s="245"/>
      <c r="T90" s="245"/>
    </row>
    <row r="91" spans="1:20" x14ac:dyDescent="0.2">
      <c r="A91" s="235"/>
      <c r="B91" s="254"/>
      <c r="C91" s="166"/>
      <c r="D91" s="166"/>
      <c r="E91" s="166"/>
      <c r="F91" s="166"/>
      <c r="G91" s="166"/>
      <c r="H91" s="166"/>
      <c r="I91" s="166"/>
      <c r="J91" s="166"/>
      <c r="K91" s="166"/>
      <c r="L91" s="166"/>
      <c r="M91" s="166"/>
      <c r="N91" s="166"/>
      <c r="O91" s="166"/>
      <c r="P91" s="253"/>
      <c r="Q91" s="235"/>
      <c r="R91" s="245"/>
      <c r="S91" s="245"/>
      <c r="T91" s="245"/>
    </row>
    <row r="92" spans="1:20" ht="43.5" customHeight="1" x14ac:dyDescent="0.2">
      <c r="A92" s="235"/>
      <c r="B92" s="422" t="s">
        <v>243</v>
      </c>
      <c r="C92" s="430"/>
      <c r="D92" s="430"/>
      <c r="E92" s="430"/>
      <c r="F92" s="430"/>
      <c r="G92" s="430"/>
      <c r="H92" s="430"/>
      <c r="I92" s="430"/>
      <c r="J92" s="430"/>
      <c r="K92" s="430"/>
      <c r="L92" s="430"/>
      <c r="M92" s="430"/>
      <c r="N92" s="430"/>
      <c r="O92" s="430"/>
      <c r="P92" s="431"/>
      <c r="Q92" s="235"/>
      <c r="R92" s="245"/>
      <c r="S92" s="245"/>
      <c r="T92" s="245"/>
    </row>
    <row r="93" spans="1:20" x14ac:dyDescent="0.2">
      <c r="A93" s="235"/>
      <c r="B93" s="254"/>
      <c r="C93" s="166"/>
      <c r="D93" s="166"/>
      <c r="E93" s="166"/>
      <c r="F93" s="166"/>
      <c r="G93" s="166"/>
      <c r="H93" s="166"/>
      <c r="I93" s="166"/>
      <c r="J93" s="166"/>
      <c r="K93" s="166"/>
      <c r="L93" s="166"/>
      <c r="M93" s="166"/>
      <c r="N93" s="166"/>
      <c r="O93" s="166"/>
      <c r="P93" s="253"/>
      <c r="Q93" s="235"/>
      <c r="R93" s="245"/>
      <c r="S93" s="245"/>
      <c r="T93" s="245"/>
    </row>
    <row r="94" spans="1:20" ht="31.5" customHeight="1" x14ac:dyDescent="0.2">
      <c r="A94" s="235"/>
      <c r="B94" s="422" t="s">
        <v>244</v>
      </c>
      <c r="C94" s="430"/>
      <c r="D94" s="430"/>
      <c r="E94" s="430"/>
      <c r="F94" s="430"/>
      <c r="G94" s="430"/>
      <c r="H94" s="430"/>
      <c r="I94" s="430"/>
      <c r="J94" s="430"/>
      <c r="K94" s="430"/>
      <c r="L94" s="430"/>
      <c r="M94" s="430"/>
      <c r="N94" s="430"/>
      <c r="O94" s="430"/>
      <c r="P94" s="431"/>
      <c r="Q94" s="235"/>
      <c r="R94" s="245"/>
      <c r="S94" s="245"/>
      <c r="T94" s="245"/>
    </row>
    <row r="95" spans="1:20" ht="11.25" customHeight="1" x14ac:dyDescent="0.2">
      <c r="A95" s="235"/>
      <c r="B95" s="235"/>
      <c r="C95" s="235"/>
      <c r="D95" s="235"/>
      <c r="E95" s="235"/>
      <c r="F95" s="235"/>
      <c r="G95" s="235"/>
      <c r="H95" s="235"/>
      <c r="I95" s="235"/>
      <c r="J95" s="235"/>
      <c r="K95" s="235"/>
      <c r="L95" s="235"/>
      <c r="M95" s="235"/>
      <c r="N95" s="235"/>
      <c r="O95" s="235"/>
      <c r="P95" s="235"/>
      <c r="Q95" s="235"/>
      <c r="R95" s="245"/>
      <c r="S95" s="245"/>
      <c r="T95" s="245"/>
    </row>
    <row r="96" spans="1:20" x14ac:dyDescent="0.2">
      <c r="A96" s="235"/>
      <c r="B96" s="254" t="s">
        <v>245</v>
      </c>
      <c r="C96" s="166"/>
      <c r="D96" s="166"/>
      <c r="E96" s="166"/>
      <c r="F96" s="166"/>
      <c r="G96" s="166"/>
      <c r="H96" s="166"/>
      <c r="I96" s="166"/>
      <c r="J96" s="166"/>
      <c r="K96" s="166"/>
      <c r="L96" s="166"/>
      <c r="M96" s="166"/>
      <c r="N96" s="166"/>
      <c r="O96" s="166"/>
      <c r="P96" s="253"/>
      <c r="Q96" s="235"/>
      <c r="R96" s="245"/>
      <c r="S96" s="245"/>
      <c r="T96" s="245"/>
    </row>
    <row r="97" spans="1:20" ht="40.5" customHeight="1" x14ac:dyDescent="0.2">
      <c r="A97" s="235"/>
      <c r="B97" s="422" t="s">
        <v>246</v>
      </c>
      <c r="C97" s="430"/>
      <c r="D97" s="430"/>
      <c r="E97" s="430"/>
      <c r="F97" s="430"/>
      <c r="G97" s="430"/>
      <c r="H97" s="430"/>
      <c r="I97" s="430"/>
      <c r="J97" s="430"/>
      <c r="K97" s="430"/>
      <c r="L97" s="430"/>
      <c r="M97" s="430"/>
      <c r="N97" s="430"/>
      <c r="O97" s="430"/>
      <c r="P97" s="431"/>
      <c r="Q97" s="235"/>
      <c r="R97" s="245"/>
      <c r="S97" s="245"/>
      <c r="T97" s="245"/>
    </row>
    <row r="98" spans="1:20" ht="15" customHeight="1" x14ac:dyDescent="0.2">
      <c r="A98" s="235"/>
      <c r="B98" s="256"/>
      <c r="C98" s="257"/>
      <c r="D98" s="257"/>
      <c r="E98" s="257"/>
      <c r="F98" s="257"/>
      <c r="G98" s="257"/>
      <c r="H98" s="257"/>
      <c r="I98" s="257"/>
      <c r="J98" s="257"/>
      <c r="K98" s="257"/>
      <c r="L98" s="257"/>
      <c r="M98" s="257"/>
      <c r="N98" s="257"/>
      <c r="O98" s="257"/>
      <c r="P98" s="258"/>
      <c r="Q98" s="235"/>
      <c r="R98" s="245"/>
      <c r="S98" s="245"/>
      <c r="T98" s="245"/>
    </row>
    <row r="99" spans="1:20" ht="40.5" customHeight="1" x14ac:dyDescent="0.2">
      <c r="A99" s="235"/>
      <c r="B99" s="435" t="s">
        <v>288</v>
      </c>
      <c r="C99" s="436"/>
      <c r="D99" s="436"/>
      <c r="E99" s="436"/>
      <c r="F99" s="436"/>
      <c r="G99" s="436"/>
      <c r="H99" s="436"/>
      <c r="I99" s="436"/>
      <c r="J99" s="436"/>
      <c r="K99" s="436"/>
      <c r="L99" s="436"/>
      <c r="M99" s="436"/>
      <c r="N99" s="436"/>
      <c r="O99" s="436"/>
      <c r="P99" s="431"/>
      <c r="Q99" s="235"/>
      <c r="R99" s="245"/>
      <c r="S99" s="245"/>
      <c r="T99" s="245"/>
    </row>
    <row r="100" spans="1:20" ht="30.75" customHeight="1" x14ac:dyDescent="0.2">
      <c r="A100" s="235"/>
      <c r="B100" s="435" t="s">
        <v>289</v>
      </c>
      <c r="C100" s="436"/>
      <c r="D100" s="436"/>
      <c r="E100" s="436"/>
      <c r="F100" s="436"/>
      <c r="G100" s="436"/>
      <c r="H100" s="436"/>
      <c r="I100" s="436"/>
      <c r="J100" s="436"/>
      <c r="K100" s="436"/>
      <c r="L100" s="436"/>
      <c r="M100" s="436"/>
      <c r="N100" s="436"/>
      <c r="O100" s="436"/>
      <c r="P100" s="431"/>
      <c r="Q100" s="235"/>
      <c r="R100" s="245"/>
      <c r="S100" s="245"/>
      <c r="T100" s="245"/>
    </row>
    <row r="101" spans="1:20" ht="13.5" customHeight="1" x14ac:dyDescent="0.2">
      <c r="A101" s="235"/>
      <c r="B101" s="259"/>
      <c r="C101" s="260"/>
      <c r="D101" s="260"/>
      <c r="E101" s="260"/>
      <c r="F101" s="260"/>
      <c r="G101" s="260"/>
      <c r="H101" s="260"/>
      <c r="I101" s="260"/>
      <c r="J101" s="260"/>
      <c r="K101" s="260"/>
      <c r="L101" s="260"/>
      <c r="M101" s="260"/>
      <c r="N101" s="260"/>
      <c r="O101" s="260"/>
      <c r="P101" s="258"/>
      <c r="Q101" s="235"/>
      <c r="R101" s="245"/>
      <c r="S101" s="245"/>
      <c r="T101" s="245"/>
    </row>
    <row r="102" spans="1:20" ht="54" customHeight="1" x14ac:dyDescent="0.2">
      <c r="A102" s="235"/>
      <c r="B102" s="435" t="s">
        <v>290</v>
      </c>
      <c r="C102" s="436"/>
      <c r="D102" s="436"/>
      <c r="E102" s="436"/>
      <c r="F102" s="436"/>
      <c r="G102" s="436"/>
      <c r="H102" s="436"/>
      <c r="I102" s="436"/>
      <c r="J102" s="436"/>
      <c r="K102" s="436"/>
      <c r="L102" s="436"/>
      <c r="M102" s="436"/>
      <c r="N102" s="436"/>
      <c r="O102" s="436"/>
      <c r="P102" s="431"/>
      <c r="Q102" s="235"/>
      <c r="R102" s="245"/>
      <c r="S102" s="245"/>
      <c r="T102" s="245"/>
    </row>
    <row r="103" spans="1:20" ht="12" customHeight="1" x14ac:dyDescent="0.2">
      <c r="A103" s="235"/>
      <c r="B103" s="259"/>
      <c r="C103" s="260"/>
      <c r="D103" s="260"/>
      <c r="E103" s="260"/>
      <c r="F103" s="260"/>
      <c r="G103" s="260"/>
      <c r="H103" s="260"/>
      <c r="I103" s="260"/>
      <c r="J103" s="260"/>
      <c r="K103" s="260"/>
      <c r="L103" s="260"/>
      <c r="M103" s="260"/>
      <c r="N103" s="260"/>
      <c r="O103" s="260"/>
      <c r="P103" s="258"/>
      <c r="Q103" s="235"/>
      <c r="R103" s="245"/>
      <c r="S103" s="245"/>
      <c r="T103" s="245"/>
    </row>
    <row r="104" spans="1:20" ht="28.5" customHeight="1" x14ac:dyDescent="0.2">
      <c r="A104" s="235"/>
      <c r="B104" s="435" t="s">
        <v>247</v>
      </c>
      <c r="C104" s="436"/>
      <c r="D104" s="436"/>
      <c r="E104" s="436"/>
      <c r="F104" s="436"/>
      <c r="G104" s="436"/>
      <c r="H104" s="436"/>
      <c r="I104" s="436"/>
      <c r="J104" s="436"/>
      <c r="K104" s="436"/>
      <c r="L104" s="436"/>
      <c r="M104" s="436"/>
      <c r="N104" s="436"/>
      <c r="O104" s="436"/>
      <c r="P104" s="431"/>
      <c r="Q104" s="235"/>
      <c r="R104" s="245"/>
      <c r="S104" s="245"/>
      <c r="T104" s="245"/>
    </row>
    <row r="105" spans="1:20" x14ac:dyDescent="0.2">
      <c r="A105" s="235"/>
      <c r="B105" s="254"/>
      <c r="C105" s="166"/>
      <c r="D105" s="166"/>
      <c r="E105" s="166"/>
      <c r="F105" s="166"/>
      <c r="G105" s="166"/>
      <c r="H105" s="166"/>
      <c r="I105" s="166"/>
      <c r="J105" s="166"/>
      <c r="K105" s="166"/>
      <c r="L105" s="166"/>
      <c r="M105" s="166"/>
      <c r="N105" s="166"/>
      <c r="O105" s="166"/>
      <c r="P105" s="253"/>
      <c r="Q105" s="235"/>
      <c r="R105" s="245"/>
      <c r="S105" s="245"/>
      <c r="T105" s="245"/>
    </row>
    <row r="106" spans="1:20" x14ac:dyDescent="0.2">
      <c r="A106" s="235"/>
      <c r="B106" s="254" t="s">
        <v>291</v>
      </c>
      <c r="C106" s="166"/>
      <c r="D106" s="166"/>
      <c r="E106" s="166"/>
      <c r="F106" s="166"/>
      <c r="G106" s="166"/>
      <c r="H106" s="166"/>
      <c r="I106" s="166"/>
      <c r="J106" s="166"/>
      <c r="K106" s="166"/>
      <c r="L106" s="166"/>
      <c r="M106" s="166"/>
      <c r="N106" s="166"/>
      <c r="O106" s="166"/>
      <c r="P106" s="253"/>
      <c r="Q106" s="235"/>
      <c r="R106" s="245"/>
      <c r="S106" s="245"/>
      <c r="T106" s="245"/>
    </row>
    <row r="107" spans="1:20" x14ac:dyDescent="0.2">
      <c r="A107" s="235"/>
      <c r="B107" s="254" t="s">
        <v>292</v>
      </c>
      <c r="C107" s="166"/>
      <c r="D107" s="166"/>
      <c r="E107" s="166"/>
      <c r="F107" s="166"/>
      <c r="G107" s="166"/>
      <c r="H107" s="166"/>
      <c r="I107" s="166"/>
      <c r="J107" s="166"/>
      <c r="K107" s="166"/>
      <c r="L107" s="166"/>
      <c r="M107" s="166"/>
      <c r="N107" s="166"/>
      <c r="O107" s="166"/>
      <c r="P107" s="253"/>
      <c r="Q107" s="235"/>
      <c r="R107" s="245"/>
      <c r="S107" s="245"/>
      <c r="T107" s="245"/>
    </row>
    <row r="108" spans="1:20" x14ac:dyDescent="0.2">
      <c r="A108" s="235"/>
      <c r="B108" s="254" t="s">
        <v>248</v>
      </c>
      <c r="C108" s="166"/>
      <c r="D108" s="166"/>
      <c r="E108" s="166"/>
      <c r="F108" s="166"/>
      <c r="G108" s="166"/>
      <c r="H108" s="166"/>
      <c r="I108" s="166"/>
      <c r="J108" s="166"/>
      <c r="K108" s="166"/>
      <c r="L108" s="166"/>
      <c r="M108" s="166"/>
      <c r="N108" s="166"/>
      <c r="O108" s="166"/>
      <c r="P108" s="253"/>
      <c r="Q108" s="235"/>
      <c r="R108" s="245"/>
      <c r="S108" s="245"/>
      <c r="T108" s="245"/>
    </row>
    <row r="109" spans="1:20" x14ac:dyDescent="0.2">
      <c r="A109" s="235"/>
      <c r="B109" s="254"/>
      <c r="C109" s="166"/>
      <c r="D109" s="166"/>
      <c r="E109" s="166"/>
      <c r="F109" s="166"/>
      <c r="G109" s="166"/>
      <c r="H109" s="166"/>
      <c r="I109" s="166"/>
      <c r="J109" s="166"/>
      <c r="K109" s="166"/>
      <c r="L109" s="166"/>
      <c r="M109" s="166"/>
      <c r="N109" s="166"/>
      <c r="O109" s="166"/>
      <c r="P109" s="253"/>
      <c r="Q109" s="235"/>
      <c r="R109" s="245"/>
      <c r="S109" s="245"/>
      <c r="T109" s="245"/>
    </row>
    <row r="110" spans="1:20" x14ac:dyDescent="0.2">
      <c r="A110" s="235"/>
      <c r="B110" s="254" t="s">
        <v>293</v>
      </c>
      <c r="C110" s="166"/>
      <c r="D110" s="166"/>
      <c r="E110" s="166"/>
      <c r="F110" s="166"/>
      <c r="G110" s="166"/>
      <c r="H110" s="166"/>
      <c r="I110" s="166"/>
      <c r="J110" s="166"/>
      <c r="K110" s="166"/>
      <c r="L110" s="166"/>
      <c r="M110" s="166"/>
      <c r="N110" s="166"/>
      <c r="O110" s="166"/>
      <c r="P110" s="253"/>
      <c r="Q110" s="235"/>
      <c r="R110" s="245"/>
      <c r="S110" s="245"/>
      <c r="T110" s="245"/>
    </row>
    <row r="111" spans="1:20" x14ac:dyDescent="0.2">
      <c r="A111" s="235"/>
      <c r="B111" s="254" t="s">
        <v>249</v>
      </c>
      <c r="C111" s="166"/>
      <c r="D111" s="166"/>
      <c r="E111" s="166"/>
      <c r="F111" s="166"/>
      <c r="G111" s="166"/>
      <c r="H111" s="166"/>
      <c r="I111" s="166"/>
      <c r="J111" s="166"/>
      <c r="K111" s="166"/>
      <c r="L111" s="166"/>
      <c r="M111" s="166"/>
      <c r="N111" s="166"/>
      <c r="O111" s="166"/>
      <c r="P111" s="253"/>
      <c r="Q111" s="235"/>
      <c r="R111" s="245"/>
      <c r="S111" s="245"/>
      <c r="T111" s="245"/>
    </row>
    <row r="112" spans="1:20" x14ac:dyDescent="0.2">
      <c r="A112" s="235"/>
      <c r="B112" s="254"/>
      <c r="C112" s="166"/>
      <c r="D112" s="166"/>
      <c r="E112" s="166"/>
      <c r="F112" s="166"/>
      <c r="G112" s="166"/>
      <c r="H112" s="166"/>
      <c r="I112" s="166"/>
      <c r="J112" s="166"/>
      <c r="K112" s="166"/>
      <c r="L112" s="166"/>
      <c r="M112" s="166"/>
      <c r="N112" s="166"/>
      <c r="O112" s="166"/>
      <c r="P112" s="253"/>
      <c r="Q112" s="235"/>
      <c r="R112" s="245"/>
      <c r="S112" s="245"/>
      <c r="T112" s="245"/>
    </row>
    <row r="113" spans="1:20" x14ac:dyDescent="0.2">
      <c r="A113" s="235"/>
      <c r="B113" s="254" t="s">
        <v>250</v>
      </c>
      <c r="C113" s="166"/>
      <c r="D113" s="166"/>
      <c r="E113" s="166"/>
      <c r="F113" s="166"/>
      <c r="G113" s="166"/>
      <c r="H113" s="166"/>
      <c r="I113" s="166"/>
      <c r="J113" s="166"/>
      <c r="K113" s="166"/>
      <c r="L113" s="166"/>
      <c r="M113" s="166"/>
      <c r="N113" s="166"/>
      <c r="O113" s="166"/>
      <c r="P113" s="253"/>
      <c r="Q113" s="235"/>
      <c r="R113" s="245"/>
      <c r="S113" s="245"/>
      <c r="T113" s="245"/>
    </row>
    <row r="114" spans="1:20" x14ac:dyDescent="0.2">
      <c r="A114" s="235"/>
      <c r="B114" s="254"/>
      <c r="C114" s="166"/>
      <c r="D114" s="166"/>
      <c r="E114" s="166"/>
      <c r="F114" s="166"/>
      <c r="G114" s="166"/>
      <c r="H114" s="166"/>
      <c r="I114" s="166"/>
      <c r="J114" s="166"/>
      <c r="K114" s="166"/>
      <c r="L114" s="166"/>
      <c r="M114" s="166"/>
      <c r="N114" s="166"/>
      <c r="O114" s="166"/>
      <c r="P114" s="253"/>
      <c r="Q114" s="235"/>
      <c r="R114" s="245"/>
      <c r="S114" s="245"/>
      <c r="T114" s="245"/>
    </row>
    <row r="115" spans="1:20" x14ac:dyDescent="0.2">
      <c r="A115" s="235"/>
      <c r="B115" s="265" t="s">
        <v>300</v>
      </c>
      <c r="C115" s="166"/>
      <c r="D115" s="166"/>
      <c r="E115" s="166"/>
      <c r="F115" s="166"/>
      <c r="G115" s="166"/>
      <c r="H115" s="166"/>
      <c r="I115" s="166"/>
      <c r="J115" s="166"/>
      <c r="K115" s="166"/>
      <c r="L115" s="166"/>
      <c r="M115" s="166"/>
      <c r="N115" s="166"/>
      <c r="O115" s="166"/>
      <c r="P115" s="253"/>
      <c r="Q115" s="235"/>
      <c r="R115" s="245"/>
      <c r="S115" s="245"/>
      <c r="T115" s="245"/>
    </row>
    <row r="116" spans="1:20" x14ac:dyDescent="0.2">
      <c r="A116" s="235"/>
      <c r="B116" s="437" t="s">
        <v>307</v>
      </c>
      <c r="C116" s="438"/>
      <c r="D116" s="438"/>
      <c r="E116" s="438"/>
      <c r="F116" s="438"/>
      <c r="G116" s="438"/>
      <c r="H116" s="438"/>
      <c r="I116" s="438"/>
      <c r="J116" s="438"/>
      <c r="K116" s="438"/>
      <c r="L116" s="438"/>
      <c r="M116" s="438"/>
      <c r="N116" s="438"/>
      <c r="O116" s="438"/>
      <c r="P116" s="439"/>
      <c r="Q116" s="235"/>
      <c r="R116" s="245"/>
      <c r="S116" s="245"/>
      <c r="T116" s="245"/>
    </row>
    <row r="117" spans="1:20" ht="17.25" customHeight="1" x14ac:dyDescent="0.2">
      <c r="A117" s="235"/>
      <c r="B117" s="438"/>
      <c r="C117" s="438"/>
      <c r="D117" s="438"/>
      <c r="E117" s="438"/>
      <c r="F117" s="438"/>
      <c r="G117" s="438"/>
      <c r="H117" s="438"/>
      <c r="I117" s="438"/>
      <c r="J117" s="438"/>
      <c r="K117" s="438"/>
      <c r="L117" s="438"/>
      <c r="M117" s="438"/>
      <c r="N117" s="438"/>
      <c r="O117" s="438"/>
      <c r="P117" s="439"/>
      <c r="Q117" s="235"/>
      <c r="R117" s="245"/>
      <c r="S117" s="245"/>
      <c r="T117" s="245"/>
    </row>
    <row r="118" spans="1:20" ht="18.75" x14ac:dyDescent="0.3">
      <c r="A118" s="235"/>
      <c r="B118" s="252" t="s">
        <v>251</v>
      </c>
      <c r="C118" s="166"/>
      <c r="D118" s="166"/>
      <c r="E118" s="166"/>
      <c r="F118" s="166"/>
      <c r="G118" s="166"/>
      <c r="H118" s="166"/>
      <c r="I118" s="166"/>
      <c r="J118" s="166"/>
      <c r="K118" s="166"/>
      <c r="L118" s="166"/>
      <c r="M118" s="166"/>
      <c r="N118" s="166"/>
      <c r="O118" s="166"/>
      <c r="P118" s="253"/>
      <c r="Q118" s="235"/>
      <c r="R118" s="245"/>
      <c r="S118" s="245"/>
      <c r="T118" s="245"/>
    </row>
    <row r="119" spans="1:20" ht="15.75" x14ac:dyDescent="0.25">
      <c r="A119" s="235"/>
      <c r="B119" s="264" t="s">
        <v>298</v>
      </c>
      <c r="C119" s="166"/>
      <c r="D119" s="166"/>
      <c r="E119" s="166"/>
      <c r="F119" s="166"/>
      <c r="G119" s="166"/>
      <c r="H119" s="166"/>
      <c r="I119" s="166"/>
      <c r="J119" s="166"/>
      <c r="K119" s="166"/>
      <c r="L119" s="166"/>
      <c r="M119" s="166"/>
      <c r="N119" s="166"/>
      <c r="O119" s="166"/>
      <c r="P119" s="253"/>
      <c r="Q119" s="235"/>
      <c r="R119" s="245"/>
      <c r="S119" s="245"/>
      <c r="T119" s="245"/>
    </row>
    <row r="120" spans="1:20" x14ac:dyDescent="0.2">
      <c r="A120" s="235"/>
      <c r="B120" s="261" t="s">
        <v>252</v>
      </c>
      <c r="C120" s="166"/>
      <c r="D120" s="166"/>
      <c r="E120" s="166"/>
      <c r="F120" s="166"/>
      <c r="G120" s="166"/>
      <c r="H120" s="166"/>
      <c r="I120" s="166"/>
      <c r="J120" s="166"/>
      <c r="K120" s="166"/>
      <c r="L120" s="166"/>
      <c r="M120" s="166"/>
      <c r="N120" s="166"/>
      <c r="O120" s="166"/>
      <c r="P120" s="253"/>
      <c r="Q120" s="235"/>
      <c r="R120" s="245"/>
      <c r="S120" s="245"/>
      <c r="T120" s="245"/>
    </row>
    <row r="121" spans="1:20" x14ac:dyDescent="0.2">
      <c r="A121" s="235"/>
      <c r="B121" s="254"/>
      <c r="C121" s="166"/>
      <c r="D121" s="166"/>
      <c r="E121" s="166"/>
      <c r="F121" s="166"/>
      <c r="G121" s="166"/>
      <c r="H121" s="166"/>
      <c r="I121" s="166"/>
      <c r="J121" s="166"/>
      <c r="K121" s="166"/>
      <c r="L121" s="166"/>
      <c r="M121" s="166"/>
      <c r="N121" s="166"/>
      <c r="O121" s="166"/>
      <c r="P121" s="253"/>
      <c r="Q121" s="235"/>
      <c r="R121" s="245"/>
      <c r="S121" s="245"/>
      <c r="T121" s="245"/>
    </row>
    <row r="122" spans="1:20" x14ac:dyDescent="0.2">
      <c r="A122" s="235"/>
      <c r="B122" s="254" t="s">
        <v>253</v>
      </c>
      <c r="C122" s="166"/>
      <c r="D122" s="166"/>
      <c r="E122" s="166"/>
      <c r="F122" s="166"/>
      <c r="G122" s="166"/>
      <c r="H122" s="166"/>
      <c r="I122" s="166"/>
      <c r="J122" s="166"/>
      <c r="K122" s="166"/>
      <c r="L122" s="166"/>
      <c r="M122" s="166"/>
      <c r="N122" s="166"/>
      <c r="O122" s="166"/>
      <c r="P122" s="253"/>
      <c r="Q122" s="235"/>
      <c r="R122" s="245"/>
      <c r="S122" s="245"/>
      <c r="T122" s="245"/>
    </row>
    <row r="123" spans="1:20" x14ac:dyDescent="0.2">
      <c r="A123" s="235"/>
      <c r="B123" s="254"/>
      <c r="C123" s="166"/>
      <c r="D123" s="166"/>
      <c r="E123" s="166"/>
      <c r="F123" s="166"/>
      <c r="G123" s="166"/>
      <c r="H123" s="166"/>
      <c r="I123" s="166"/>
      <c r="J123" s="166"/>
      <c r="K123" s="166"/>
      <c r="L123" s="166"/>
      <c r="M123" s="166"/>
      <c r="N123" s="166"/>
      <c r="O123" s="166"/>
      <c r="P123" s="253"/>
      <c r="Q123" s="235"/>
      <c r="R123" s="245"/>
      <c r="S123" s="245"/>
      <c r="T123" s="245"/>
    </row>
    <row r="124" spans="1:20" x14ac:dyDescent="0.2">
      <c r="A124" s="235"/>
      <c r="B124" s="254" t="s">
        <v>254</v>
      </c>
      <c r="C124" s="166"/>
      <c r="D124" s="166"/>
      <c r="E124" s="166"/>
      <c r="F124" s="166"/>
      <c r="G124" s="166"/>
      <c r="H124" s="166"/>
      <c r="I124" s="166"/>
      <c r="J124" s="166"/>
      <c r="K124" s="166"/>
      <c r="L124" s="166"/>
      <c r="M124" s="166"/>
      <c r="N124" s="166"/>
      <c r="O124" s="166"/>
      <c r="P124" s="253"/>
      <c r="Q124" s="235"/>
      <c r="R124" s="245"/>
      <c r="S124" s="245"/>
      <c r="T124" s="245"/>
    </row>
    <row r="125" spans="1:20" x14ac:dyDescent="0.2">
      <c r="A125" s="235"/>
      <c r="B125" s="262"/>
      <c r="C125" s="166"/>
      <c r="D125" s="166"/>
      <c r="E125" s="166"/>
      <c r="F125" s="166"/>
      <c r="G125" s="166"/>
      <c r="H125" s="166"/>
      <c r="I125" s="166"/>
      <c r="J125" s="166"/>
      <c r="K125" s="166"/>
      <c r="L125" s="166"/>
      <c r="M125" s="166"/>
      <c r="N125" s="166"/>
      <c r="O125" s="166"/>
      <c r="P125" s="253"/>
      <c r="Q125" s="235"/>
      <c r="R125" s="245"/>
      <c r="S125" s="245"/>
      <c r="T125" s="245"/>
    </row>
    <row r="126" spans="1:20" x14ac:dyDescent="0.2">
      <c r="A126" s="235"/>
      <c r="B126" s="254" t="s">
        <v>255</v>
      </c>
      <c r="C126" s="166"/>
      <c r="D126" s="166"/>
      <c r="E126" s="166"/>
      <c r="F126" s="166"/>
      <c r="G126" s="166"/>
      <c r="H126" s="166"/>
      <c r="I126" s="166"/>
      <c r="J126" s="166"/>
      <c r="K126" s="166"/>
      <c r="L126" s="166"/>
      <c r="M126" s="166"/>
      <c r="N126" s="166"/>
      <c r="O126" s="166"/>
      <c r="P126" s="253"/>
      <c r="Q126" s="235"/>
      <c r="R126" s="245"/>
      <c r="S126" s="245"/>
      <c r="T126" s="245"/>
    </row>
    <row r="127" spans="1:20" x14ac:dyDescent="0.2">
      <c r="A127" s="235"/>
      <c r="B127" s="262"/>
      <c r="C127" s="166"/>
      <c r="D127" s="166"/>
      <c r="E127" s="166"/>
      <c r="F127" s="166"/>
      <c r="G127" s="166"/>
      <c r="H127" s="166"/>
      <c r="I127" s="166"/>
      <c r="J127" s="166"/>
      <c r="K127" s="166"/>
      <c r="L127" s="166"/>
      <c r="M127" s="166"/>
      <c r="N127" s="166"/>
      <c r="O127" s="166"/>
      <c r="P127" s="253"/>
      <c r="Q127" s="235"/>
      <c r="R127" s="245"/>
      <c r="S127" s="245"/>
      <c r="T127" s="245"/>
    </row>
    <row r="128" spans="1:20" x14ac:dyDescent="0.2">
      <c r="A128" s="235"/>
      <c r="B128" s="254" t="s">
        <v>256</v>
      </c>
      <c r="C128" s="166"/>
      <c r="D128" s="166"/>
      <c r="E128" s="166"/>
      <c r="F128" s="166"/>
      <c r="G128" s="166"/>
      <c r="H128" s="166"/>
      <c r="I128" s="166"/>
      <c r="J128" s="166"/>
      <c r="K128" s="166"/>
      <c r="L128" s="166"/>
      <c r="M128" s="166"/>
      <c r="N128" s="166"/>
      <c r="O128" s="166"/>
      <c r="P128" s="253"/>
      <c r="Q128" s="235"/>
      <c r="R128" s="245"/>
      <c r="S128" s="245"/>
      <c r="T128" s="245"/>
    </row>
    <row r="129" spans="1:20" x14ac:dyDescent="0.2">
      <c r="A129" s="235"/>
      <c r="B129" s="262"/>
      <c r="C129" s="166"/>
      <c r="D129" s="166"/>
      <c r="E129" s="166"/>
      <c r="F129" s="166"/>
      <c r="G129" s="166"/>
      <c r="H129" s="166"/>
      <c r="I129" s="166"/>
      <c r="J129" s="166"/>
      <c r="K129" s="166"/>
      <c r="L129" s="166"/>
      <c r="M129" s="166"/>
      <c r="N129" s="166"/>
      <c r="O129" s="166"/>
      <c r="P129" s="253"/>
      <c r="Q129" s="235"/>
      <c r="R129" s="245"/>
      <c r="S129" s="245"/>
      <c r="T129" s="245"/>
    </row>
    <row r="130" spans="1:20" x14ac:dyDescent="0.2">
      <c r="A130" s="235"/>
      <c r="B130" s="254" t="s">
        <v>218</v>
      </c>
      <c r="C130" s="166"/>
      <c r="D130" s="166"/>
      <c r="E130" s="166"/>
      <c r="F130" s="166"/>
      <c r="G130" s="166"/>
      <c r="H130" s="166"/>
      <c r="I130" s="166"/>
      <c r="J130" s="166"/>
      <c r="K130" s="166"/>
      <c r="L130" s="166"/>
      <c r="M130" s="166"/>
      <c r="N130" s="166"/>
      <c r="O130" s="166"/>
      <c r="P130" s="253"/>
      <c r="Q130" s="235"/>
      <c r="R130" s="245"/>
      <c r="S130" s="245"/>
      <c r="T130" s="245"/>
    </row>
    <row r="131" spans="1:20" x14ac:dyDescent="0.2">
      <c r="A131" s="235"/>
      <c r="B131" s="262"/>
      <c r="C131" s="166"/>
      <c r="D131" s="166"/>
      <c r="E131" s="166"/>
      <c r="F131" s="166"/>
      <c r="G131" s="166"/>
      <c r="H131" s="166"/>
      <c r="I131" s="166"/>
      <c r="J131" s="166"/>
      <c r="K131" s="166"/>
      <c r="L131" s="166"/>
      <c r="M131" s="166"/>
      <c r="N131" s="166"/>
      <c r="O131" s="166"/>
      <c r="P131" s="253"/>
      <c r="Q131" s="235"/>
      <c r="R131" s="245"/>
      <c r="S131" s="245"/>
      <c r="T131" s="245"/>
    </row>
    <row r="132" spans="1:20" x14ac:dyDescent="0.2">
      <c r="A132" s="235"/>
      <c r="B132" s="254" t="s">
        <v>257</v>
      </c>
      <c r="C132" s="166"/>
      <c r="D132" s="166"/>
      <c r="E132" s="166"/>
      <c r="F132" s="166"/>
      <c r="G132" s="166"/>
      <c r="H132" s="166"/>
      <c r="I132" s="166"/>
      <c r="J132" s="166"/>
      <c r="K132" s="166"/>
      <c r="L132" s="166"/>
      <c r="M132" s="166"/>
      <c r="N132" s="166"/>
      <c r="O132" s="166"/>
      <c r="P132" s="253"/>
      <c r="Q132" s="235"/>
      <c r="R132" s="245"/>
      <c r="S132" s="245"/>
      <c r="T132" s="245"/>
    </row>
    <row r="133" spans="1:20" x14ac:dyDescent="0.2">
      <c r="A133" s="235"/>
      <c r="B133" s="262"/>
      <c r="C133" s="166"/>
      <c r="D133" s="166"/>
      <c r="E133" s="166"/>
      <c r="F133" s="166"/>
      <c r="G133" s="166"/>
      <c r="H133" s="166"/>
      <c r="I133" s="166"/>
      <c r="J133" s="166"/>
      <c r="K133" s="166"/>
      <c r="L133" s="166"/>
      <c r="M133" s="166"/>
      <c r="N133" s="166"/>
      <c r="O133" s="166"/>
      <c r="P133" s="253"/>
      <c r="Q133" s="235"/>
      <c r="R133" s="245"/>
      <c r="S133" s="245"/>
      <c r="T133" s="245"/>
    </row>
    <row r="134" spans="1:20" x14ac:dyDescent="0.2">
      <c r="A134" s="235"/>
      <c r="B134" s="254" t="s">
        <v>258</v>
      </c>
      <c r="C134" s="166"/>
      <c r="D134" s="166"/>
      <c r="E134" s="166"/>
      <c r="F134" s="166"/>
      <c r="G134" s="166"/>
      <c r="H134" s="166"/>
      <c r="I134" s="166"/>
      <c r="J134" s="166"/>
      <c r="K134" s="166"/>
      <c r="L134" s="166"/>
      <c r="M134" s="166"/>
      <c r="N134" s="166"/>
      <c r="O134" s="166"/>
      <c r="P134" s="253"/>
      <c r="Q134" s="235"/>
      <c r="R134" s="245"/>
      <c r="S134" s="245"/>
      <c r="T134" s="245"/>
    </row>
    <row r="135" spans="1:20" x14ac:dyDescent="0.2">
      <c r="A135" s="235"/>
      <c r="B135" s="262"/>
      <c r="C135" s="166"/>
      <c r="D135" s="166"/>
      <c r="E135" s="166"/>
      <c r="F135" s="166"/>
      <c r="G135" s="166"/>
      <c r="H135" s="166"/>
      <c r="I135" s="166"/>
      <c r="J135" s="166"/>
      <c r="K135" s="166"/>
      <c r="L135" s="166"/>
      <c r="M135" s="166"/>
      <c r="N135" s="166"/>
      <c r="O135" s="166"/>
      <c r="P135" s="253"/>
      <c r="Q135" s="235"/>
      <c r="R135" s="245"/>
      <c r="S135" s="245"/>
      <c r="T135" s="245"/>
    </row>
    <row r="136" spans="1:20" x14ac:dyDescent="0.2">
      <c r="A136" s="235"/>
      <c r="B136" s="254" t="s">
        <v>259</v>
      </c>
      <c r="C136" s="166"/>
      <c r="D136" s="166"/>
      <c r="E136" s="166"/>
      <c r="F136" s="166"/>
      <c r="G136" s="166"/>
      <c r="H136" s="166"/>
      <c r="I136" s="166"/>
      <c r="J136" s="166"/>
      <c r="K136" s="166"/>
      <c r="L136" s="166"/>
      <c r="M136" s="166"/>
      <c r="N136" s="166"/>
      <c r="O136" s="166"/>
      <c r="P136" s="253"/>
      <c r="Q136" s="235"/>
      <c r="R136" s="245"/>
      <c r="S136" s="245"/>
      <c r="T136" s="245"/>
    </row>
    <row r="137" spans="1:20" x14ac:dyDescent="0.2">
      <c r="A137" s="235"/>
      <c r="B137" s="254"/>
      <c r="C137" s="166"/>
      <c r="D137" s="166"/>
      <c r="E137" s="166"/>
      <c r="F137" s="166"/>
      <c r="G137" s="166"/>
      <c r="H137" s="166"/>
      <c r="I137" s="166"/>
      <c r="J137" s="166"/>
      <c r="K137" s="166"/>
      <c r="L137" s="166"/>
      <c r="M137" s="166"/>
      <c r="N137" s="166"/>
      <c r="O137" s="166"/>
      <c r="P137" s="253"/>
      <c r="Q137" s="235"/>
      <c r="R137" s="245"/>
      <c r="S137" s="245"/>
      <c r="T137" s="245"/>
    </row>
    <row r="138" spans="1:20" x14ac:dyDescent="0.2">
      <c r="A138" s="235"/>
      <c r="B138" s="254" t="s">
        <v>260</v>
      </c>
      <c r="C138" s="166"/>
      <c r="D138" s="166"/>
      <c r="E138" s="166"/>
      <c r="F138" s="166"/>
      <c r="G138" s="166"/>
      <c r="H138" s="166"/>
      <c r="I138" s="166"/>
      <c r="J138" s="166"/>
      <c r="K138" s="166"/>
      <c r="L138" s="166"/>
      <c r="M138" s="166"/>
      <c r="N138" s="166"/>
      <c r="O138" s="166"/>
      <c r="P138" s="253"/>
      <c r="Q138" s="235"/>
      <c r="R138" s="245"/>
      <c r="S138" s="245"/>
      <c r="T138" s="245"/>
    </row>
    <row r="139" spans="1:20" x14ac:dyDescent="0.2">
      <c r="A139" s="235"/>
      <c r="B139" s="262"/>
      <c r="C139" s="166"/>
      <c r="D139" s="166"/>
      <c r="E139" s="166"/>
      <c r="F139" s="166"/>
      <c r="G139" s="166"/>
      <c r="H139" s="166"/>
      <c r="I139" s="166"/>
      <c r="J139" s="166"/>
      <c r="K139" s="166"/>
      <c r="L139" s="166"/>
      <c r="M139" s="166"/>
      <c r="N139" s="166"/>
      <c r="O139" s="166"/>
      <c r="P139" s="253"/>
      <c r="Q139" s="235"/>
      <c r="R139" s="245"/>
      <c r="S139" s="245"/>
      <c r="T139" s="245"/>
    </row>
    <row r="140" spans="1:20" x14ac:dyDescent="0.2">
      <c r="A140" s="235"/>
      <c r="B140" s="254" t="s">
        <v>261</v>
      </c>
      <c r="C140" s="166"/>
      <c r="D140" s="166"/>
      <c r="E140" s="166"/>
      <c r="F140" s="166"/>
      <c r="G140" s="166"/>
      <c r="H140" s="166"/>
      <c r="I140" s="166"/>
      <c r="J140" s="166"/>
      <c r="K140" s="166"/>
      <c r="L140" s="166"/>
      <c r="M140" s="166"/>
      <c r="N140" s="166"/>
      <c r="O140" s="166"/>
      <c r="P140" s="253"/>
      <c r="Q140" s="235"/>
      <c r="R140" s="245"/>
      <c r="S140" s="245"/>
      <c r="T140" s="245"/>
    </row>
    <row r="141" spans="1:20" x14ac:dyDescent="0.2">
      <c r="A141" s="235"/>
      <c r="B141" s="254" t="s">
        <v>262</v>
      </c>
      <c r="C141" s="166"/>
      <c r="D141" s="166"/>
      <c r="E141" s="166"/>
      <c r="F141" s="166"/>
      <c r="G141" s="166"/>
      <c r="H141" s="166"/>
      <c r="I141" s="166"/>
      <c r="J141" s="166"/>
      <c r="K141" s="166"/>
      <c r="L141" s="166"/>
      <c r="M141" s="166"/>
      <c r="N141" s="166"/>
      <c r="O141" s="166"/>
      <c r="P141" s="253"/>
      <c r="Q141" s="235"/>
      <c r="R141" s="245"/>
      <c r="S141" s="245"/>
      <c r="T141" s="245"/>
    </row>
    <row r="142" spans="1:20" x14ac:dyDescent="0.2">
      <c r="A142" s="235"/>
      <c r="B142" s="254"/>
      <c r="C142" s="166"/>
      <c r="D142" s="166"/>
      <c r="E142" s="166"/>
      <c r="F142" s="166"/>
      <c r="G142" s="166"/>
      <c r="H142" s="166"/>
      <c r="I142" s="166"/>
      <c r="J142" s="166"/>
      <c r="K142" s="166"/>
      <c r="L142" s="166"/>
      <c r="M142" s="166"/>
      <c r="N142" s="166"/>
      <c r="O142" s="166"/>
      <c r="P142" s="253"/>
      <c r="Q142" s="235"/>
      <c r="R142" s="245"/>
      <c r="S142" s="245"/>
      <c r="T142" s="245"/>
    </row>
    <row r="143" spans="1:20" x14ac:dyDescent="0.2">
      <c r="A143" s="235"/>
      <c r="B143" s="254"/>
      <c r="C143" s="166"/>
      <c r="D143" s="166"/>
      <c r="E143" s="166"/>
      <c r="F143" s="166"/>
      <c r="G143" s="166"/>
      <c r="H143" s="166"/>
      <c r="I143" s="166"/>
      <c r="J143" s="166"/>
      <c r="K143" s="166"/>
      <c r="L143" s="166"/>
      <c r="M143" s="166"/>
      <c r="N143" s="166"/>
      <c r="O143" s="166"/>
      <c r="P143" s="253"/>
      <c r="Q143" s="235"/>
      <c r="R143" s="245"/>
      <c r="S143" s="245"/>
      <c r="T143" s="245"/>
    </row>
    <row r="144" spans="1:20" x14ac:dyDescent="0.2">
      <c r="A144" s="235"/>
      <c r="B144" s="254" t="s">
        <v>263</v>
      </c>
      <c r="C144" s="166"/>
      <c r="D144" s="166"/>
      <c r="E144" s="166"/>
      <c r="F144" s="166"/>
      <c r="G144" s="166"/>
      <c r="H144" s="166"/>
      <c r="I144" s="166"/>
      <c r="J144" s="166"/>
      <c r="K144" s="166"/>
      <c r="L144" s="166"/>
      <c r="M144" s="166"/>
      <c r="N144" s="166"/>
      <c r="O144" s="166"/>
      <c r="P144" s="253"/>
      <c r="Q144" s="235"/>
      <c r="R144" s="245"/>
      <c r="S144" s="245"/>
      <c r="T144" s="245"/>
    </row>
    <row r="145" spans="1:20" x14ac:dyDescent="0.2">
      <c r="A145" s="235"/>
      <c r="B145" s="254"/>
      <c r="C145" s="166"/>
      <c r="D145" s="166"/>
      <c r="E145" s="166"/>
      <c r="F145" s="166"/>
      <c r="G145" s="166"/>
      <c r="H145" s="166"/>
      <c r="I145" s="166"/>
      <c r="J145" s="166"/>
      <c r="K145" s="166"/>
      <c r="L145" s="166"/>
      <c r="M145" s="166"/>
      <c r="N145" s="166"/>
      <c r="O145" s="166"/>
      <c r="P145" s="253"/>
      <c r="Q145" s="235"/>
      <c r="R145" s="245"/>
      <c r="S145" s="245"/>
      <c r="T145" s="245"/>
    </row>
    <row r="146" spans="1:20" x14ac:dyDescent="0.2">
      <c r="A146" s="235"/>
      <c r="B146" s="254" t="s">
        <v>264</v>
      </c>
      <c r="C146" s="166"/>
      <c r="D146" s="166"/>
      <c r="E146" s="166"/>
      <c r="F146" s="166"/>
      <c r="G146" s="166"/>
      <c r="H146" s="166"/>
      <c r="I146" s="166"/>
      <c r="J146" s="166"/>
      <c r="K146" s="166"/>
      <c r="L146" s="166"/>
      <c r="M146" s="166"/>
      <c r="N146" s="166"/>
      <c r="O146" s="166"/>
      <c r="P146" s="253"/>
      <c r="Q146" s="235"/>
      <c r="R146" s="245"/>
      <c r="S146" s="245"/>
      <c r="T146" s="245"/>
    </row>
    <row r="147" spans="1:20" x14ac:dyDescent="0.2">
      <c r="A147" s="235"/>
      <c r="B147" s="254"/>
      <c r="C147" s="166"/>
      <c r="D147" s="166"/>
      <c r="E147" s="166"/>
      <c r="F147" s="166"/>
      <c r="G147" s="166"/>
      <c r="H147" s="166"/>
      <c r="I147" s="166"/>
      <c r="J147" s="166"/>
      <c r="K147" s="166"/>
      <c r="L147" s="166"/>
      <c r="M147" s="166"/>
      <c r="N147" s="166"/>
      <c r="O147" s="166"/>
      <c r="P147" s="253"/>
      <c r="Q147" s="235"/>
      <c r="R147" s="245"/>
      <c r="S147" s="245"/>
      <c r="T147" s="245"/>
    </row>
    <row r="148" spans="1:20" x14ac:dyDescent="0.2">
      <c r="A148" s="235"/>
      <c r="B148" s="254" t="s">
        <v>265</v>
      </c>
      <c r="C148" s="166"/>
      <c r="D148" s="166"/>
      <c r="E148" s="166"/>
      <c r="F148" s="166"/>
      <c r="G148" s="166"/>
      <c r="H148" s="166"/>
      <c r="I148" s="166"/>
      <c r="J148" s="166"/>
      <c r="K148" s="166"/>
      <c r="L148" s="166"/>
      <c r="M148" s="166"/>
      <c r="N148" s="166"/>
      <c r="O148" s="166"/>
      <c r="P148" s="253"/>
      <c r="Q148" s="235"/>
      <c r="R148" s="245"/>
      <c r="S148" s="245"/>
      <c r="T148" s="245"/>
    </row>
    <row r="149" spans="1:20" x14ac:dyDescent="0.2">
      <c r="A149" s="235"/>
      <c r="B149" s="254" t="s">
        <v>266</v>
      </c>
      <c r="C149" s="166"/>
      <c r="D149" s="166"/>
      <c r="E149" s="166"/>
      <c r="F149" s="166"/>
      <c r="G149" s="166"/>
      <c r="H149" s="166"/>
      <c r="I149" s="166"/>
      <c r="J149" s="166"/>
      <c r="K149" s="166"/>
      <c r="L149" s="166"/>
      <c r="M149" s="166"/>
      <c r="N149" s="166"/>
      <c r="O149" s="166"/>
      <c r="P149" s="253"/>
      <c r="Q149" s="235"/>
      <c r="R149" s="245"/>
      <c r="S149" s="245"/>
      <c r="T149" s="245"/>
    </row>
    <row r="150" spans="1:20" x14ac:dyDescent="0.2">
      <c r="A150" s="235"/>
      <c r="B150" s="254"/>
      <c r="C150" s="166"/>
      <c r="D150" s="166"/>
      <c r="E150" s="166"/>
      <c r="F150" s="166"/>
      <c r="G150" s="166"/>
      <c r="H150" s="166"/>
      <c r="I150" s="166"/>
      <c r="J150" s="166"/>
      <c r="K150" s="166"/>
      <c r="L150" s="166"/>
      <c r="M150" s="166"/>
      <c r="N150" s="166"/>
      <c r="O150" s="166"/>
      <c r="P150" s="253"/>
      <c r="Q150" s="235"/>
      <c r="R150" s="245"/>
      <c r="S150" s="245"/>
      <c r="T150" s="245"/>
    </row>
    <row r="151" spans="1:20" x14ac:dyDescent="0.2">
      <c r="A151" s="235"/>
      <c r="B151" s="254" t="s">
        <v>267</v>
      </c>
      <c r="C151" s="166"/>
      <c r="D151" s="166"/>
      <c r="E151" s="166"/>
      <c r="F151" s="166"/>
      <c r="G151" s="166"/>
      <c r="H151" s="166"/>
      <c r="I151" s="166"/>
      <c r="J151" s="166"/>
      <c r="K151" s="166"/>
      <c r="L151" s="166"/>
      <c r="M151" s="166"/>
      <c r="N151" s="166"/>
      <c r="O151" s="166"/>
      <c r="P151" s="253"/>
      <c r="Q151" s="235"/>
      <c r="R151" s="245"/>
      <c r="S151" s="245"/>
      <c r="T151" s="245"/>
    </row>
    <row r="152" spans="1:20" x14ac:dyDescent="0.2">
      <c r="A152" s="235"/>
      <c r="B152" s="254"/>
      <c r="C152" s="166"/>
      <c r="D152" s="166"/>
      <c r="E152" s="166"/>
      <c r="F152" s="166"/>
      <c r="G152" s="166"/>
      <c r="H152" s="166"/>
      <c r="I152" s="166"/>
      <c r="J152" s="166"/>
      <c r="K152" s="166"/>
      <c r="L152" s="166"/>
      <c r="M152" s="166"/>
      <c r="N152" s="166"/>
      <c r="O152" s="166"/>
      <c r="P152" s="253"/>
      <c r="Q152" s="235"/>
      <c r="R152" s="245"/>
      <c r="S152" s="245"/>
      <c r="T152" s="245"/>
    </row>
    <row r="153" spans="1:20" x14ac:dyDescent="0.2">
      <c r="A153" s="235"/>
      <c r="B153" s="254" t="s">
        <v>268</v>
      </c>
      <c r="C153" s="166"/>
      <c r="D153" s="166"/>
      <c r="E153" s="166"/>
      <c r="F153" s="166"/>
      <c r="G153" s="166"/>
      <c r="H153" s="166"/>
      <c r="I153" s="166"/>
      <c r="J153" s="166"/>
      <c r="K153" s="166"/>
      <c r="L153" s="166"/>
      <c r="M153" s="166"/>
      <c r="N153" s="166"/>
      <c r="O153" s="166"/>
      <c r="P153" s="253"/>
      <c r="Q153" s="235"/>
      <c r="R153" s="245"/>
      <c r="S153" s="245"/>
      <c r="T153" s="245"/>
    </row>
    <row r="154" spans="1:20" x14ac:dyDescent="0.2">
      <c r="A154" s="235"/>
      <c r="B154" s="254"/>
      <c r="C154" s="166"/>
      <c r="D154" s="166"/>
      <c r="E154" s="166"/>
      <c r="F154" s="166"/>
      <c r="G154" s="166"/>
      <c r="H154" s="166"/>
      <c r="I154" s="166"/>
      <c r="J154" s="166"/>
      <c r="K154" s="166"/>
      <c r="L154" s="166"/>
      <c r="M154" s="166"/>
      <c r="N154" s="166"/>
      <c r="O154" s="166"/>
      <c r="P154" s="253"/>
      <c r="Q154" s="235"/>
      <c r="R154" s="245"/>
      <c r="S154" s="245"/>
      <c r="T154" s="245"/>
    </row>
    <row r="155" spans="1:20" x14ac:dyDescent="0.2">
      <c r="A155" s="235"/>
      <c r="B155" s="254" t="s">
        <v>269</v>
      </c>
      <c r="C155" s="166"/>
      <c r="D155" s="166"/>
      <c r="E155" s="166"/>
      <c r="F155" s="166"/>
      <c r="G155" s="166"/>
      <c r="H155" s="166"/>
      <c r="I155" s="166"/>
      <c r="J155" s="166"/>
      <c r="K155" s="166"/>
      <c r="L155" s="166"/>
      <c r="M155" s="166"/>
      <c r="N155" s="166"/>
      <c r="O155" s="166"/>
      <c r="P155" s="253"/>
      <c r="Q155" s="235"/>
      <c r="R155" s="245"/>
      <c r="S155" s="245"/>
      <c r="T155" s="245"/>
    </row>
    <row r="156" spans="1:20" x14ac:dyDescent="0.2">
      <c r="A156" s="235"/>
      <c r="B156" s="254"/>
      <c r="C156" s="166"/>
      <c r="D156" s="166"/>
      <c r="E156" s="166"/>
      <c r="F156" s="166"/>
      <c r="G156" s="166"/>
      <c r="H156" s="166"/>
      <c r="I156" s="166"/>
      <c r="J156" s="166"/>
      <c r="K156" s="166"/>
      <c r="L156" s="166"/>
      <c r="M156" s="166"/>
      <c r="N156" s="166"/>
      <c r="O156" s="166"/>
      <c r="P156" s="253"/>
      <c r="Q156" s="235"/>
      <c r="R156" s="245"/>
      <c r="S156" s="245"/>
      <c r="T156" s="245"/>
    </row>
    <row r="157" spans="1:20" ht="15.75" x14ac:dyDescent="0.25">
      <c r="A157" s="235"/>
      <c r="B157" s="264" t="s">
        <v>299</v>
      </c>
      <c r="C157" s="166"/>
      <c r="D157" s="166"/>
      <c r="E157" s="166"/>
      <c r="F157" s="166"/>
      <c r="G157" s="166"/>
      <c r="H157" s="166"/>
      <c r="I157" s="166"/>
      <c r="J157" s="166"/>
      <c r="K157" s="166"/>
      <c r="L157" s="166"/>
      <c r="M157" s="166"/>
      <c r="N157" s="166"/>
      <c r="O157" s="166"/>
      <c r="P157" s="253"/>
      <c r="Q157" s="235"/>
      <c r="R157" s="245"/>
      <c r="S157" s="245"/>
      <c r="T157" s="245"/>
    </row>
    <row r="158" spans="1:20" x14ac:dyDescent="0.2">
      <c r="A158" s="235"/>
      <c r="B158" s="254" t="s">
        <v>270</v>
      </c>
      <c r="C158" s="166"/>
      <c r="D158" s="166"/>
      <c r="E158" s="166"/>
      <c r="F158" s="166"/>
      <c r="G158" s="166"/>
      <c r="H158" s="166"/>
      <c r="I158" s="166"/>
      <c r="J158" s="166"/>
      <c r="K158" s="166"/>
      <c r="L158" s="166"/>
      <c r="M158" s="166"/>
      <c r="N158" s="166"/>
      <c r="O158" s="166"/>
      <c r="P158" s="253"/>
      <c r="Q158" s="235"/>
      <c r="R158" s="245"/>
      <c r="S158" s="245"/>
      <c r="T158" s="245"/>
    </row>
    <row r="159" spans="1:20" ht="33" customHeight="1" x14ac:dyDescent="0.2">
      <c r="A159" s="235"/>
      <c r="B159" s="422" t="s">
        <v>271</v>
      </c>
      <c r="C159" s="430"/>
      <c r="D159" s="430"/>
      <c r="E159" s="430"/>
      <c r="F159" s="430"/>
      <c r="G159" s="430"/>
      <c r="H159" s="430"/>
      <c r="I159" s="430"/>
      <c r="J159" s="430"/>
      <c r="K159" s="430"/>
      <c r="L159" s="430"/>
      <c r="M159" s="430"/>
      <c r="N159" s="430"/>
      <c r="O159" s="430"/>
      <c r="P159" s="431"/>
      <c r="Q159" s="235"/>
      <c r="R159" s="245"/>
      <c r="S159" s="245"/>
      <c r="T159" s="245"/>
    </row>
    <row r="160" spans="1:20" x14ac:dyDescent="0.2">
      <c r="A160" s="235"/>
      <c r="B160" s="254"/>
      <c r="C160" s="166"/>
      <c r="D160" s="166"/>
      <c r="E160" s="166"/>
      <c r="F160" s="166"/>
      <c r="G160" s="166"/>
      <c r="H160" s="166"/>
      <c r="I160" s="166"/>
      <c r="J160" s="166"/>
      <c r="K160" s="166"/>
      <c r="L160" s="166"/>
      <c r="M160" s="166"/>
      <c r="N160" s="166"/>
      <c r="O160" s="166"/>
      <c r="P160" s="253"/>
      <c r="Q160" s="235"/>
      <c r="R160" s="245"/>
      <c r="S160" s="245"/>
      <c r="T160" s="245"/>
    </row>
    <row r="161" spans="1:20" x14ac:dyDescent="0.2">
      <c r="A161" s="235"/>
      <c r="B161" s="254" t="s">
        <v>272</v>
      </c>
      <c r="C161" s="166"/>
      <c r="D161" s="166"/>
      <c r="E161" s="166"/>
      <c r="F161" s="166"/>
      <c r="G161" s="166"/>
      <c r="H161" s="166"/>
      <c r="I161" s="166"/>
      <c r="J161" s="166"/>
      <c r="K161" s="166"/>
      <c r="L161" s="166"/>
      <c r="M161" s="166"/>
      <c r="N161" s="166"/>
      <c r="O161" s="166"/>
      <c r="P161" s="253"/>
      <c r="Q161" s="235"/>
      <c r="R161" s="245"/>
      <c r="S161" s="245"/>
      <c r="T161" s="245"/>
    </row>
    <row r="162" spans="1:20" x14ac:dyDescent="0.2">
      <c r="A162" s="235"/>
      <c r="B162" s="254"/>
      <c r="C162" s="166"/>
      <c r="D162" s="166"/>
      <c r="E162" s="166"/>
      <c r="F162" s="166"/>
      <c r="G162" s="166"/>
      <c r="H162" s="166"/>
      <c r="I162" s="166"/>
      <c r="J162" s="166"/>
      <c r="K162" s="166"/>
      <c r="L162" s="166"/>
      <c r="M162" s="166"/>
      <c r="N162" s="166"/>
      <c r="O162" s="166"/>
      <c r="P162" s="253"/>
      <c r="Q162" s="235"/>
      <c r="R162" s="245"/>
      <c r="S162" s="245"/>
      <c r="T162" s="245"/>
    </row>
    <row r="163" spans="1:20" ht="28.5" customHeight="1" x14ac:dyDescent="0.2">
      <c r="A163" s="235"/>
      <c r="B163" s="422" t="s">
        <v>273</v>
      </c>
      <c r="C163" s="423"/>
      <c r="D163" s="423"/>
      <c r="E163" s="423"/>
      <c r="F163" s="423"/>
      <c r="G163" s="423"/>
      <c r="H163" s="423"/>
      <c r="I163" s="423"/>
      <c r="J163" s="423"/>
      <c r="K163" s="423"/>
      <c r="L163" s="423"/>
      <c r="M163" s="423"/>
      <c r="N163" s="423"/>
      <c r="O163" s="423"/>
      <c r="P163" s="424"/>
      <c r="Q163" s="260"/>
      <c r="R163" s="245"/>
      <c r="S163" s="245"/>
      <c r="T163" s="245"/>
    </row>
    <row r="164" spans="1:20" x14ac:dyDescent="0.2">
      <c r="A164" s="235"/>
      <c r="B164" s="254"/>
      <c r="C164" s="166"/>
      <c r="D164" s="166"/>
      <c r="E164" s="166"/>
      <c r="F164" s="166"/>
      <c r="G164" s="166"/>
      <c r="H164" s="166"/>
      <c r="I164" s="166"/>
      <c r="J164" s="166"/>
      <c r="K164" s="166"/>
      <c r="L164" s="166"/>
      <c r="M164" s="166"/>
      <c r="N164" s="166"/>
      <c r="O164" s="166"/>
      <c r="P164" s="253"/>
      <c r="Q164" s="235"/>
      <c r="R164" s="245"/>
      <c r="S164" s="245"/>
      <c r="T164" s="245"/>
    </row>
    <row r="165" spans="1:20" ht="31.5" customHeight="1" x14ac:dyDescent="0.2">
      <c r="A165" s="235"/>
      <c r="B165" s="422" t="s">
        <v>274</v>
      </c>
      <c r="C165" s="430"/>
      <c r="D165" s="430"/>
      <c r="E165" s="430"/>
      <c r="F165" s="430"/>
      <c r="G165" s="430"/>
      <c r="H165" s="430"/>
      <c r="I165" s="430"/>
      <c r="J165" s="430"/>
      <c r="K165" s="430"/>
      <c r="L165" s="430"/>
      <c r="M165" s="430"/>
      <c r="N165" s="430"/>
      <c r="O165" s="430"/>
      <c r="P165" s="431"/>
      <c r="Q165" s="235"/>
      <c r="R165" s="245"/>
      <c r="S165" s="245"/>
      <c r="T165" s="245"/>
    </row>
    <row r="166" spans="1:20" x14ac:dyDescent="0.2">
      <c r="A166" s="235"/>
      <c r="B166" s="254"/>
      <c r="C166" s="166"/>
      <c r="D166" s="166"/>
      <c r="E166" s="166"/>
      <c r="F166" s="166"/>
      <c r="G166" s="166"/>
      <c r="H166" s="166"/>
      <c r="I166" s="166"/>
      <c r="J166" s="166"/>
      <c r="K166" s="166"/>
      <c r="L166" s="166"/>
      <c r="M166" s="166"/>
      <c r="N166" s="166"/>
      <c r="O166" s="166"/>
      <c r="P166" s="253"/>
      <c r="Q166" s="235"/>
      <c r="R166" s="245"/>
      <c r="S166" s="245"/>
      <c r="T166" s="245"/>
    </row>
    <row r="167" spans="1:20" x14ac:dyDescent="0.2">
      <c r="A167" s="235"/>
      <c r="B167" s="254" t="s">
        <v>275</v>
      </c>
      <c r="C167" s="166"/>
      <c r="D167" s="166"/>
      <c r="E167" s="166"/>
      <c r="F167" s="166"/>
      <c r="G167" s="166"/>
      <c r="H167" s="166"/>
      <c r="I167" s="166"/>
      <c r="J167" s="166"/>
      <c r="K167" s="166"/>
      <c r="L167" s="166"/>
      <c r="M167" s="166"/>
      <c r="N167" s="166"/>
      <c r="O167" s="166"/>
      <c r="P167" s="253"/>
      <c r="Q167" s="235"/>
      <c r="R167" s="245"/>
      <c r="S167" s="245"/>
      <c r="T167" s="245"/>
    </row>
    <row r="168" spans="1:20" x14ac:dyDescent="0.2">
      <c r="A168" s="235"/>
      <c r="B168" s="254"/>
      <c r="C168" s="166"/>
      <c r="D168" s="166"/>
      <c r="E168" s="166"/>
      <c r="F168" s="166"/>
      <c r="G168" s="166"/>
      <c r="H168" s="166"/>
      <c r="I168" s="166"/>
      <c r="J168" s="166"/>
      <c r="K168" s="166"/>
      <c r="L168" s="166"/>
      <c r="M168" s="166"/>
      <c r="N168" s="166"/>
      <c r="O168" s="166"/>
      <c r="P168" s="253"/>
      <c r="Q168" s="235"/>
      <c r="R168" s="245"/>
      <c r="S168" s="245"/>
      <c r="T168" s="245"/>
    </row>
    <row r="169" spans="1:20" x14ac:dyDescent="0.2">
      <c r="A169" s="235"/>
      <c r="B169" s="428" t="s">
        <v>293</v>
      </c>
      <c r="C169" s="429"/>
      <c r="D169" s="429"/>
      <c r="E169" s="429"/>
      <c r="F169" s="429"/>
      <c r="G169" s="429"/>
      <c r="H169" s="429"/>
      <c r="I169" s="429"/>
      <c r="J169" s="429"/>
      <c r="K169" s="429"/>
      <c r="L169" s="429"/>
      <c r="M169" s="429"/>
      <c r="N169" s="429"/>
      <c r="O169" s="429"/>
      <c r="P169" s="440"/>
      <c r="Q169" s="235"/>
      <c r="R169" s="245"/>
      <c r="S169" s="245"/>
      <c r="T169" s="245"/>
    </row>
    <row r="170" spans="1:20" x14ac:dyDescent="0.2">
      <c r="A170" s="235"/>
      <c r="B170" s="428" t="s">
        <v>346</v>
      </c>
      <c r="C170" s="429"/>
      <c r="D170" s="429"/>
      <c r="E170" s="429"/>
      <c r="F170" s="429"/>
      <c r="G170" s="429"/>
      <c r="H170" s="429"/>
      <c r="I170" s="429"/>
      <c r="J170" s="429"/>
      <c r="K170" s="429"/>
      <c r="L170" s="429"/>
      <c r="M170" s="429"/>
      <c r="N170" s="429"/>
      <c r="O170" s="429"/>
      <c r="P170" s="440"/>
      <c r="Q170" s="235"/>
      <c r="R170" s="245"/>
      <c r="S170" s="245"/>
      <c r="T170" s="245"/>
    </row>
    <row r="171" spans="1:20" x14ac:dyDescent="0.2">
      <c r="A171" s="235"/>
      <c r="B171" s="262"/>
      <c r="C171" s="171"/>
      <c r="D171" s="171"/>
      <c r="E171" s="171"/>
      <c r="F171" s="171"/>
      <c r="G171" s="171"/>
      <c r="H171" s="171"/>
      <c r="I171" s="171"/>
      <c r="J171" s="171"/>
      <c r="K171" s="171"/>
      <c r="L171" s="171"/>
      <c r="M171" s="171"/>
      <c r="N171" s="171"/>
      <c r="O171" s="171"/>
      <c r="P171" s="360"/>
      <c r="Q171" s="235"/>
      <c r="R171" s="245"/>
      <c r="S171" s="245"/>
      <c r="T171" s="245"/>
    </row>
    <row r="172" spans="1:20" x14ac:dyDescent="0.2">
      <c r="A172" s="235"/>
      <c r="B172" s="428" t="s">
        <v>347</v>
      </c>
      <c r="C172" s="429"/>
      <c r="D172" s="429"/>
      <c r="E172" s="429"/>
      <c r="F172" s="429"/>
      <c r="G172" s="429"/>
      <c r="H172" s="429"/>
      <c r="I172" s="429"/>
      <c r="J172" s="429"/>
      <c r="K172" s="429"/>
      <c r="L172" s="429"/>
      <c r="M172" s="429"/>
      <c r="N172" s="429"/>
      <c r="O172" s="429"/>
      <c r="P172" s="440"/>
      <c r="Q172" s="235"/>
      <c r="R172" s="245"/>
      <c r="S172" s="245"/>
      <c r="T172" s="245"/>
    </row>
    <row r="173" spans="1:20" x14ac:dyDescent="0.2">
      <c r="A173" s="235"/>
      <c r="B173" s="254"/>
      <c r="C173" s="166"/>
      <c r="D173" s="166"/>
      <c r="E173" s="166"/>
      <c r="F173" s="166"/>
      <c r="G173" s="166"/>
      <c r="H173" s="166"/>
      <c r="I173" s="166"/>
      <c r="J173" s="166"/>
      <c r="K173" s="166"/>
      <c r="L173" s="166"/>
      <c r="M173" s="166"/>
      <c r="N173" s="166"/>
      <c r="O173" s="166"/>
      <c r="P173" s="253"/>
      <c r="Q173" s="235"/>
      <c r="R173" s="245"/>
      <c r="S173" s="245"/>
      <c r="T173" s="245"/>
    </row>
    <row r="174" spans="1:20" ht="32.25" customHeight="1" x14ac:dyDescent="0.2">
      <c r="A174" s="235"/>
      <c r="B174" s="422" t="s">
        <v>276</v>
      </c>
      <c r="C174" s="423"/>
      <c r="D174" s="423"/>
      <c r="E174" s="423"/>
      <c r="F174" s="423"/>
      <c r="G174" s="423"/>
      <c r="H174" s="423"/>
      <c r="I174" s="423"/>
      <c r="J174" s="423"/>
      <c r="K174" s="423"/>
      <c r="L174" s="423"/>
      <c r="M174" s="423"/>
      <c r="N174" s="423"/>
      <c r="O174" s="423"/>
      <c r="P174" s="424"/>
      <c r="Q174" s="235"/>
      <c r="R174" s="245"/>
      <c r="S174" s="245"/>
      <c r="T174" s="245"/>
    </row>
    <row r="175" spans="1:20" x14ac:dyDescent="0.2">
      <c r="A175" s="235"/>
      <c r="B175" s="254"/>
      <c r="C175" s="166"/>
      <c r="D175" s="166"/>
      <c r="E175" s="166"/>
      <c r="F175" s="166"/>
      <c r="G175" s="166"/>
      <c r="H175" s="166"/>
      <c r="I175" s="166"/>
      <c r="J175" s="166"/>
      <c r="K175" s="166"/>
      <c r="L175" s="166"/>
      <c r="M175" s="166"/>
      <c r="N175" s="166"/>
      <c r="O175" s="166"/>
      <c r="P175" s="253"/>
      <c r="Q175" s="235"/>
      <c r="R175" s="245"/>
      <c r="S175" s="245"/>
      <c r="T175" s="245"/>
    </row>
    <row r="176" spans="1:20" x14ac:dyDescent="0.2">
      <c r="A176" s="235"/>
      <c r="B176" s="254" t="s">
        <v>277</v>
      </c>
      <c r="C176" s="166"/>
      <c r="D176" s="166"/>
      <c r="E176" s="166"/>
      <c r="F176" s="166"/>
      <c r="G176" s="166"/>
      <c r="H176" s="166"/>
      <c r="I176" s="166"/>
      <c r="J176" s="166"/>
      <c r="K176" s="166"/>
      <c r="L176" s="166"/>
      <c r="M176" s="166"/>
      <c r="N176" s="166"/>
      <c r="O176" s="166"/>
      <c r="P176" s="253"/>
      <c r="Q176" s="235"/>
      <c r="R176" s="245"/>
      <c r="S176" s="245"/>
      <c r="T176" s="245"/>
    </row>
    <row r="177" spans="1:20" x14ac:dyDescent="0.2">
      <c r="A177" s="235"/>
      <c r="B177" s="254"/>
      <c r="C177" s="166"/>
      <c r="D177" s="166"/>
      <c r="E177" s="166"/>
      <c r="F177" s="166"/>
      <c r="G177" s="166"/>
      <c r="H177" s="166"/>
      <c r="I177" s="166"/>
      <c r="J177" s="166"/>
      <c r="K177" s="166"/>
      <c r="L177" s="166"/>
      <c r="M177" s="166"/>
      <c r="N177" s="166"/>
      <c r="O177" s="166"/>
      <c r="P177" s="253"/>
      <c r="Q177" s="235"/>
      <c r="R177" s="245"/>
      <c r="S177" s="245"/>
      <c r="T177" s="245"/>
    </row>
    <row r="178" spans="1:20" ht="31.5" customHeight="1" x14ac:dyDescent="0.2">
      <c r="A178" s="235"/>
      <c r="B178" s="422" t="s">
        <v>278</v>
      </c>
      <c r="C178" s="430"/>
      <c r="D178" s="430"/>
      <c r="E178" s="430"/>
      <c r="F178" s="430"/>
      <c r="G178" s="430"/>
      <c r="H178" s="430"/>
      <c r="I178" s="430"/>
      <c r="J178" s="430"/>
      <c r="K178" s="430"/>
      <c r="L178" s="430"/>
      <c r="M178" s="430"/>
      <c r="N178" s="430"/>
      <c r="O178" s="430"/>
      <c r="P178" s="431"/>
      <c r="Q178" s="235"/>
      <c r="R178" s="245"/>
      <c r="S178" s="245"/>
      <c r="T178" s="245"/>
    </row>
    <row r="179" spans="1:20" x14ac:dyDescent="0.2">
      <c r="A179" s="235"/>
      <c r="B179" s="263"/>
      <c r="C179" s="166"/>
      <c r="D179" s="166"/>
      <c r="E179" s="166"/>
      <c r="F179" s="166"/>
      <c r="G179" s="166"/>
      <c r="H179" s="166"/>
      <c r="I179" s="166"/>
      <c r="J179" s="166"/>
      <c r="K179" s="166"/>
      <c r="L179" s="166"/>
      <c r="M179" s="166"/>
      <c r="N179" s="166"/>
      <c r="O179" s="166"/>
      <c r="P179" s="253"/>
      <c r="Q179" s="235"/>
      <c r="R179" s="245"/>
      <c r="S179" s="245"/>
      <c r="T179" s="245"/>
    </row>
    <row r="180" spans="1:20" hidden="1" x14ac:dyDescent="0.2">
      <c r="A180" s="235"/>
      <c r="B180" s="235"/>
      <c r="C180" s="235"/>
      <c r="D180" s="235"/>
      <c r="E180" s="235"/>
      <c r="F180" s="235"/>
      <c r="G180" s="235"/>
      <c r="H180" s="235"/>
      <c r="I180" s="235"/>
      <c r="J180" s="235"/>
      <c r="K180" s="235"/>
      <c r="L180" s="235"/>
      <c r="M180" s="235"/>
      <c r="N180" s="235"/>
      <c r="O180" s="235"/>
      <c r="P180" s="235"/>
      <c r="Q180" s="235"/>
      <c r="R180" s="245"/>
      <c r="S180" s="245"/>
      <c r="T180" s="245"/>
    </row>
    <row r="181" spans="1:20" hidden="1" x14ac:dyDescent="0.2">
      <c r="A181" s="235"/>
      <c r="B181" s="235"/>
      <c r="C181" s="235"/>
      <c r="D181" s="235"/>
      <c r="E181" s="235"/>
      <c r="F181" s="235"/>
      <c r="G181" s="235"/>
      <c r="H181" s="235"/>
      <c r="I181" s="235"/>
      <c r="J181" s="235"/>
      <c r="K181" s="235"/>
      <c r="L181" s="235"/>
      <c r="M181" s="235"/>
      <c r="N181" s="235"/>
      <c r="O181" s="235"/>
      <c r="P181" s="235"/>
      <c r="Q181" s="235"/>
      <c r="R181" s="245"/>
      <c r="S181" s="245"/>
      <c r="T181" s="245"/>
    </row>
    <row r="182" spans="1:20" hidden="1" x14ac:dyDescent="0.2">
      <c r="A182" s="235"/>
      <c r="B182" s="235"/>
      <c r="C182" s="235"/>
      <c r="D182" s="235"/>
      <c r="E182" s="235"/>
      <c r="F182" s="235"/>
      <c r="G182" s="235"/>
      <c r="H182" s="235"/>
      <c r="I182" s="235"/>
      <c r="J182" s="235"/>
      <c r="K182" s="235"/>
      <c r="L182" s="235"/>
      <c r="M182" s="235"/>
      <c r="N182" s="235"/>
      <c r="O182" s="235"/>
      <c r="P182" s="235"/>
      <c r="Q182" s="235"/>
      <c r="R182" s="245"/>
      <c r="S182" s="245"/>
      <c r="T182" s="245"/>
    </row>
    <row r="183" spans="1:20" hidden="1" x14ac:dyDescent="0.2">
      <c r="A183" s="235"/>
      <c r="B183" s="235"/>
      <c r="C183" s="235"/>
      <c r="D183" s="235"/>
      <c r="E183" s="235"/>
      <c r="F183" s="235"/>
      <c r="G183" s="235"/>
      <c r="H183" s="235"/>
      <c r="I183" s="235"/>
      <c r="J183" s="235"/>
      <c r="K183" s="235"/>
      <c r="L183" s="235"/>
      <c r="M183" s="235"/>
      <c r="N183" s="235"/>
      <c r="O183" s="235"/>
      <c r="P183" s="235"/>
      <c r="Q183" s="235"/>
      <c r="R183" s="245"/>
      <c r="S183" s="245"/>
      <c r="T183" s="245"/>
    </row>
    <row r="184" spans="1:20" hidden="1" x14ac:dyDescent="0.2">
      <c r="A184" s="245"/>
      <c r="B184" s="245"/>
      <c r="C184" s="245"/>
      <c r="D184" s="245"/>
      <c r="E184" s="245"/>
      <c r="F184" s="245"/>
      <c r="G184" s="245"/>
      <c r="H184" s="245"/>
      <c r="I184" s="245"/>
      <c r="J184" s="245"/>
      <c r="K184" s="245"/>
      <c r="L184" s="245"/>
      <c r="M184" s="245"/>
      <c r="N184" s="245"/>
      <c r="O184" s="245"/>
      <c r="P184" s="245"/>
      <c r="Q184" s="245"/>
      <c r="R184" s="245"/>
      <c r="S184" s="245"/>
      <c r="T184" s="245"/>
    </row>
    <row r="185" spans="1:20" hidden="1" x14ac:dyDescent="0.2">
      <c r="A185" s="245"/>
      <c r="B185" s="245"/>
      <c r="C185" s="245"/>
      <c r="D185" s="245"/>
      <c r="E185" s="245"/>
      <c r="F185" s="245"/>
      <c r="G185" s="245"/>
      <c r="H185" s="245"/>
      <c r="I185" s="245"/>
      <c r="J185" s="245"/>
      <c r="K185" s="245"/>
      <c r="L185" s="245"/>
      <c r="M185" s="245"/>
      <c r="N185" s="245"/>
      <c r="O185" s="245"/>
      <c r="P185" s="245"/>
      <c r="Q185" s="245"/>
      <c r="R185" s="245"/>
      <c r="S185" s="245"/>
      <c r="T185" s="245"/>
    </row>
    <row r="186" spans="1:20" hidden="1" x14ac:dyDescent="0.2">
      <c r="A186" s="245"/>
      <c r="B186" s="245"/>
      <c r="C186" s="245"/>
      <c r="D186" s="245"/>
      <c r="E186" s="245"/>
      <c r="F186" s="245"/>
      <c r="G186" s="245"/>
      <c r="H186" s="245"/>
      <c r="I186" s="245"/>
      <c r="J186" s="245"/>
      <c r="K186" s="245"/>
      <c r="L186" s="245"/>
      <c r="M186" s="245"/>
      <c r="N186" s="245"/>
      <c r="O186" s="245"/>
      <c r="P186" s="245"/>
      <c r="Q186" s="245"/>
      <c r="R186" s="245"/>
      <c r="S186" s="245"/>
      <c r="T186" s="245"/>
    </row>
    <row r="187" spans="1:20" hidden="1" x14ac:dyDescent="0.2">
      <c r="A187" s="245"/>
      <c r="B187" s="245"/>
      <c r="C187" s="245"/>
      <c r="D187" s="245"/>
      <c r="E187" s="245"/>
      <c r="F187" s="245"/>
      <c r="G187" s="245"/>
      <c r="H187" s="245"/>
      <c r="I187" s="245"/>
      <c r="J187" s="245"/>
      <c r="K187" s="245"/>
      <c r="L187" s="245"/>
      <c r="M187" s="245"/>
      <c r="N187" s="245"/>
      <c r="O187" s="245"/>
      <c r="P187" s="245"/>
      <c r="Q187" s="245"/>
      <c r="R187" s="245"/>
      <c r="S187" s="245"/>
      <c r="T187" s="245"/>
    </row>
    <row r="188" spans="1:20" hidden="1" x14ac:dyDescent="0.2">
      <c r="A188" s="245"/>
      <c r="B188" s="245"/>
      <c r="C188" s="245"/>
      <c r="D188" s="245"/>
      <c r="E188" s="245"/>
      <c r="F188" s="245"/>
      <c r="G188" s="245"/>
      <c r="H188" s="245"/>
      <c r="I188" s="245"/>
      <c r="J188" s="245"/>
      <c r="K188" s="245"/>
      <c r="L188" s="245"/>
      <c r="M188" s="245"/>
      <c r="N188" s="245"/>
      <c r="O188" s="245"/>
      <c r="P188" s="245"/>
      <c r="Q188" s="245"/>
      <c r="R188" s="245"/>
      <c r="S188" s="245"/>
      <c r="T188" s="245"/>
    </row>
    <row r="189" spans="1:20" hidden="1" x14ac:dyDescent="0.2">
      <c r="A189" s="245"/>
      <c r="B189" s="245"/>
      <c r="C189" s="245"/>
      <c r="D189" s="245"/>
      <c r="E189" s="245"/>
      <c r="F189" s="245"/>
      <c r="G189" s="245"/>
      <c r="H189" s="245"/>
      <c r="I189" s="245"/>
      <c r="J189" s="245"/>
      <c r="K189" s="245"/>
      <c r="L189" s="245"/>
      <c r="M189" s="245"/>
      <c r="N189" s="245"/>
      <c r="O189" s="245"/>
      <c r="P189" s="245"/>
      <c r="Q189" s="245"/>
      <c r="R189" s="245"/>
      <c r="S189" s="245"/>
      <c r="T189" s="245"/>
    </row>
    <row r="190" spans="1:20" hidden="1" x14ac:dyDescent="0.2">
      <c r="A190" s="245"/>
      <c r="B190" s="245"/>
      <c r="C190" s="245"/>
      <c r="D190" s="245"/>
      <c r="E190" s="245"/>
      <c r="F190" s="245"/>
      <c r="G190" s="245"/>
      <c r="H190" s="245"/>
      <c r="I190" s="245"/>
      <c r="J190" s="245"/>
      <c r="K190" s="245"/>
      <c r="L190" s="245"/>
      <c r="M190" s="245"/>
      <c r="N190" s="245"/>
      <c r="O190" s="245"/>
      <c r="P190" s="245"/>
      <c r="Q190" s="245"/>
      <c r="R190" s="245"/>
      <c r="S190" s="245"/>
      <c r="T190" s="245"/>
    </row>
    <row r="191" spans="1:20" hidden="1" x14ac:dyDescent="0.2">
      <c r="A191" s="245"/>
      <c r="B191" s="245"/>
      <c r="C191" s="245"/>
      <c r="D191" s="245"/>
      <c r="E191" s="245"/>
      <c r="F191" s="245"/>
      <c r="G191" s="245"/>
      <c r="H191" s="245"/>
      <c r="I191" s="245"/>
      <c r="J191" s="245"/>
      <c r="K191" s="245"/>
      <c r="L191" s="245"/>
      <c r="M191" s="245"/>
      <c r="N191" s="245"/>
      <c r="O191" s="245"/>
      <c r="P191" s="245"/>
      <c r="Q191" s="245"/>
      <c r="R191" s="245"/>
      <c r="S191" s="245"/>
      <c r="T191" s="245"/>
    </row>
    <row r="192" spans="1:20" hidden="1" x14ac:dyDescent="0.2">
      <c r="A192" s="245"/>
      <c r="B192" s="245"/>
      <c r="C192" s="245"/>
      <c r="D192" s="245"/>
      <c r="E192" s="245"/>
      <c r="F192" s="245"/>
      <c r="G192" s="245"/>
      <c r="H192" s="245"/>
      <c r="I192" s="245"/>
      <c r="J192" s="245"/>
      <c r="K192" s="245"/>
      <c r="L192" s="245"/>
      <c r="M192" s="245"/>
      <c r="N192" s="245"/>
      <c r="O192" s="245"/>
      <c r="P192" s="245"/>
      <c r="Q192" s="245"/>
      <c r="R192" s="245"/>
      <c r="S192" s="245"/>
      <c r="T192" s="245"/>
    </row>
    <row r="193" x14ac:dyDescent="0.2"/>
    <row r="194" x14ac:dyDescent="0.2"/>
  </sheetData>
  <sheetProtection password="CC01" sheet="1" objects="1" scenarios="1" selectLockedCells="1" selectUnlockedCells="1"/>
  <mergeCells count="43">
    <mergeCell ref="B99:P99"/>
    <mergeCell ref="B100:P100"/>
    <mergeCell ref="B102:P102"/>
    <mergeCell ref="B104:P104"/>
    <mergeCell ref="B174:P174"/>
    <mergeCell ref="B116:P117"/>
    <mergeCell ref="B169:P169"/>
    <mergeCell ref="B170:P170"/>
    <mergeCell ref="B172:P172"/>
    <mergeCell ref="B178:P178"/>
    <mergeCell ref="B1:P1"/>
    <mergeCell ref="B97:P97"/>
    <mergeCell ref="B159:P159"/>
    <mergeCell ref="B165:P165"/>
    <mergeCell ref="B163:P163"/>
    <mergeCell ref="B63:P63"/>
    <mergeCell ref="B73:P73"/>
    <mergeCell ref="B79:P79"/>
    <mergeCell ref="B88:P88"/>
    <mergeCell ref="B92:P92"/>
    <mergeCell ref="B94:P94"/>
    <mergeCell ref="B40:P40"/>
    <mergeCell ref="B3:P3"/>
    <mergeCell ref="B18:P18"/>
    <mergeCell ref="B20:P20"/>
    <mergeCell ref="B36:P36"/>
    <mergeCell ref="B65:K65"/>
    <mergeCell ref="B46:P46"/>
    <mergeCell ref="B48:P48"/>
    <mergeCell ref="B50:P50"/>
    <mergeCell ref="B52:P52"/>
    <mergeCell ref="B61:P61"/>
    <mergeCell ref="B44:O44"/>
    <mergeCell ref="B54:O54"/>
    <mergeCell ref="B56:O56"/>
    <mergeCell ref="B42:O42"/>
    <mergeCell ref="G66:G67"/>
    <mergeCell ref="H66:H67"/>
    <mergeCell ref="B66:B67"/>
    <mergeCell ref="C66:C67"/>
    <mergeCell ref="D66:D67"/>
    <mergeCell ref="E66:E67"/>
    <mergeCell ref="F66:F67"/>
  </mergeCells>
  <hyperlinks>
    <hyperlink ref="B52" location="_ftn1" display="_ftn1"/>
  </hyperlinks>
  <pageMargins left="0.7" right="0.7" top="0.75" bottom="0.75" header="0.3" footer="0.3"/>
  <pageSetup scale="85" orientation="landscape" r:id="rId1"/>
  <headerFooter>
    <oddHeader>&amp;C(WV SWVM Sole Preservation- Working Draft September 2011)</oddHeader>
    <oddFooter>&amp;CVersion 2.1, September 2011</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Y94"/>
  <sheetViews>
    <sheetView showGridLines="0" view="pageLayout" topLeftCell="M1" zoomScale="65" zoomScaleNormal="70" zoomScalePageLayoutView="65" workbookViewId="0">
      <selection activeCell="B1" sqref="B1:F1"/>
    </sheetView>
  </sheetViews>
  <sheetFormatPr defaultColWidth="0" defaultRowHeight="12.75" zeroHeight="1" x14ac:dyDescent="0.2"/>
  <cols>
    <col min="1" max="1" width="36.85546875" style="300" customWidth="1"/>
    <col min="2" max="2" width="7.140625" style="300" customWidth="1"/>
    <col min="3" max="3" width="5.85546875" style="300" customWidth="1"/>
    <col min="4" max="4" width="12.5703125" style="300" customWidth="1"/>
    <col min="5" max="5" width="9.7109375" style="300" bestFit="1" customWidth="1"/>
    <col min="6" max="6" width="37.5703125" style="300" customWidth="1"/>
    <col min="7" max="7" width="7.140625" style="300" customWidth="1"/>
    <col min="8" max="8" width="5.7109375" style="300" customWidth="1"/>
    <col min="9" max="9" width="15.5703125" style="300" bestFit="1" customWidth="1"/>
    <col min="10" max="10" width="3" style="300" customWidth="1"/>
    <col min="11" max="11" width="6" style="300" customWidth="1"/>
    <col min="12" max="12" width="37.28515625" style="300" customWidth="1"/>
    <col min="13" max="13" width="7.140625" style="300" bestFit="1" customWidth="1"/>
    <col min="14" max="14" width="6" style="300" customWidth="1"/>
    <col min="15" max="15" width="15.5703125" style="300" bestFit="1" customWidth="1"/>
    <col min="16" max="16" width="8.28515625" style="300" customWidth="1"/>
    <col min="17" max="17" width="36.5703125" style="300" customWidth="1"/>
    <col min="18" max="18" width="7.7109375" style="300" customWidth="1"/>
    <col min="19" max="19" width="5.5703125" style="300" customWidth="1"/>
    <col min="20" max="20" width="12.140625" style="300" customWidth="1"/>
    <col min="21" max="21" width="5.140625" style="300" customWidth="1"/>
    <col min="22" max="22" width="3.28515625" style="300" customWidth="1"/>
    <col min="23" max="23" width="37" style="300" customWidth="1"/>
    <col min="24" max="24" width="7.85546875" style="300" customWidth="1"/>
    <col min="25" max="25" width="6" style="300" customWidth="1"/>
    <col min="26" max="26" width="11.7109375" style="300" customWidth="1"/>
    <col min="27" max="27" width="2.5703125" style="300" customWidth="1"/>
    <col min="28" max="28" width="9.140625" style="300" hidden="1" customWidth="1"/>
    <col min="29" max="35" width="9.140625" hidden="1" customWidth="1"/>
    <col min="36" max="36" width="9.28515625" hidden="1" customWidth="1"/>
    <col min="37" max="37" width="6.5703125" hidden="1" customWidth="1"/>
    <col min="38" max="39" width="9.140625" hidden="1" customWidth="1"/>
    <col min="40" max="40" width="18.140625" hidden="1" customWidth="1"/>
    <col min="41" max="45" width="9.140625" hidden="1" customWidth="1"/>
    <col min="46" max="46" width="19.85546875" hidden="1" customWidth="1"/>
    <col min="47" max="47" width="22.140625" hidden="1" customWidth="1"/>
    <col min="48" max="16384" width="9.140625" hidden="1"/>
  </cols>
  <sheetData>
    <row r="1" spans="1:51" ht="50.25" customHeight="1" x14ac:dyDescent="0.2">
      <c r="A1" s="151" t="s">
        <v>368</v>
      </c>
      <c r="B1" s="516" t="s">
        <v>371</v>
      </c>
      <c r="C1" s="516"/>
      <c r="D1" s="516"/>
      <c r="E1" s="516"/>
      <c r="F1" s="516"/>
      <c r="G1" s="514" t="s">
        <v>167</v>
      </c>
      <c r="H1" s="514"/>
      <c r="I1" s="514"/>
      <c r="J1" s="514"/>
      <c r="K1" s="49" t="s">
        <v>92</v>
      </c>
      <c r="L1" s="227"/>
      <c r="M1" s="49" t="s">
        <v>93</v>
      </c>
      <c r="N1" s="515"/>
      <c r="O1" s="515"/>
      <c r="P1" s="515"/>
      <c r="Q1" s="180" t="s">
        <v>166</v>
      </c>
      <c r="R1" s="524" t="s">
        <v>357</v>
      </c>
      <c r="S1" s="525"/>
      <c r="T1" s="525"/>
      <c r="U1" s="525"/>
      <c r="V1" s="526"/>
      <c r="W1" s="243" t="s">
        <v>118</v>
      </c>
      <c r="X1" s="511" t="s">
        <v>363</v>
      </c>
      <c r="Y1" s="512"/>
      <c r="Z1" s="513"/>
      <c r="AA1" s="59"/>
      <c r="AB1" s="358"/>
      <c r="AC1" s="164"/>
      <c r="AD1" s="164"/>
      <c r="AE1" s="164"/>
      <c r="AF1" s="164"/>
      <c r="AG1" s="164"/>
      <c r="AH1" s="290"/>
      <c r="AI1" s="290"/>
      <c r="AJ1" s="290"/>
      <c r="AK1" s="290"/>
      <c r="AL1" s="290"/>
      <c r="AM1" s="290"/>
      <c r="AN1" s="300"/>
      <c r="AO1" s="300"/>
      <c r="AP1" s="300"/>
      <c r="AQ1" s="300"/>
      <c r="AR1" s="300"/>
      <c r="AS1" s="300"/>
      <c r="AT1" s="300"/>
      <c r="AU1" s="300"/>
      <c r="AV1" s="300"/>
      <c r="AW1" s="300"/>
      <c r="AX1" s="300"/>
    </row>
    <row r="2" spans="1:51" ht="58.5" customHeight="1" x14ac:dyDescent="0.2">
      <c r="A2" s="530" t="s">
        <v>337</v>
      </c>
      <c r="B2" s="531"/>
      <c r="C2" s="531"/>
      <c r="D2" s="531"/>
      <c r="E2" s="532"/>
      <c r="F2" s="517" t="s">
        <v>365</v>
      </c>
      <c r="G2" s="518"/>
      <c r="H2" s="518"/>
      <c r="I2" s="518"/>
      <c r="J2" s="518"/>
      <c r="K2" s="519"/>
      <c r="L2" s="514" t="s">
        <v>336</v>
      </c>
      <c r="M2" s="514"/>
      <c r="N2" s="514"/>
      <c r="O2" s="514"/>
      <c r="P2" s="520"/>
      <c r="Q2" s="521" t="s">
        <v>366</v>
      </c>
      <c r="R2" s="521"/>
      <c r="S2" s="521"/>
      <c r="T2" s="521"/>
      <c r="U2" s="522"/>
      <c r="V2" s="522"/>
      <c r="W2" s="348" t="s">
        <v>338</v>
      </c>
      <c r="X2" s="533" t="s">
        <v>367</v>
      </c>
      <c r="Y2" s="534"/>
      <c r="Z2" s="535"/>
      <c r="AA2" s="223"/>
      <c r="AB2" s="359"/>
      <c r="AC2" s="164"/>
      <c r="AD2" s="164"/>
      <c r="AE2" s="164"/>
      <c r="AF2" s="164"/>
      <c r="AG2" s="164"/>
      <c r="AH2" s="290"/>
      <c r="AI2" s="290"/>
      <c r="AJ2" s="290"/>
      <c r="AK2" s="290"/>
      <c r="AL2" s="290"/>
      <c r="AM2" s="290"/>
      <c r="AN2" s="300"/>
      <c r="AO2" s="300"/>
      <c r="AP2" s="300"/>
      <c r="AQ2" s="300"/>
      <c r="AR2" s="300"/>
      <c r="AS2" s="300"/>
      <c r="AT2" s="300"/>
      <c r="AU2" s="300"/>
      <c r="AV2" s="300"/>
      <c r="AW2" s="300"/>
      <c r="AX2" s="300"/>
    </row>
    <row r="3" spans="1:51" ht="42.75" customHeight="1" x14ac:dyDescent="0.2">
      <c r="A3" s="151" t="s">
        <v>117</v>
      </c>
      <c r="B3" s="523">
        <v>50</v>
      </c>
      <c r="C3" s="523"/>
      <c r="D3" s="514" t="s">
        <v>51</v>
      </c>
      <c r="E3" s="514"/>
      <c r="F3" s="308" t="s">
        <v>310</v>
      </c>
      <c r="G3" s="514" t="s">
        <v>168</v>
      </c>
      <c r="H3" s="514"/>
      <c r="I3" s="514"/>
      <c r="J3" s="514"/>
      <c r="K3" s="49" t="s">
        <v>92</v>
      </c>
      <c r="L3" s="227"/>
      <c r="M3" s="49" t="s">
        <v>93</v>
      </c>
      <c r="N3" s="515"/>
      <c r="O3" s="515"/>
      <c r="P3" s="515"/>
      <c r="Q3" s="243" t="s">
        <v>87</v>
      </c>
      <c r="R3" s="527">
        <v>0.1</v>
      </c>
      <c r="S3" s="528"/>
      <c r="T3" s="528"/>
      <c r="U3" s="528"/>
      <c r="V3" s="529"/>
      <c r="W3" s="244" t="s">
        <v>148</v>
      </c>
      <c r="X3" s="523">
        <v>650</v>
      </c>
      <c r="Y3" s="523"/>
      <c r="Z3" s="523"/>
      <c r="AA3" s="59"/>
      <c r="AB3" s="164"/>
      <c r="AC3" s="164"/>
      <c r="AD3" s="164"/>
      <c r="AE3" s="164"/>
      <c r="AF3" s="164"/>
      <c r="AG3" s="164"/>
      <c r="AH3" s="290"/>
      <c r="AI3" s="290"/>
      <c r="AJ3" s="290"/>
      <c r="AK3" s="290"/>
      <c r="AL3" s="290"/>
      <c r="AM3" s="290"/>
      <c r="AN3" s="300"/>
      <c r="AO3" s="300"/>
      <c r="AP3" s="300"/>
      <c r="AQ3" s="300"/>
      <c r="AR3" s="300"/>
      <c r="AS3" s="300"/>
      <c r="AT3" s="300"/>
      <c r="AU3" s="300"/>
      <c r="AV3" s="300"/>
      <c r="AW3" s="300"/>
      <c r="AX3" s="300"/>
    </row>
    <row r="4" spans="1:51" ht="30.75" customHeight="1" thickBot="1" x14ac:dyDescent="0.25">
      <c r="A4" s="545" t="s">
        <v>116</v>
      </c>
      <c r="B4" s="546"/>
      <c r="C4" s="546"/>
      <c r="D4" s="547"/>
      <c r="E4" s="13"/>
      <c r="F4" s="496" t="s">
        <v>147</v>
      </c>
      <c r="G4" s="497"/>
      <c r="H4" s="497"/>
      <c r="I4" s="498"/>
      <c r="J4" s="548"/>
      <c r="K4" s="548"/>
      <c r="L4" s="496" t="s">
        <v>359</v>
      </c>
      <c r="M4" s="497"/>
      <c r="N4" s="497"/>
      <c r="O4" s="498"/>
      <c r="P4" s="32"/>
      <c r="Q4" s="496" t="s">
        <v>360</v>
      </c>
      <c r="R4" s="497"/>
      <c r="S4" s="497"/>
      <c r="T4" s="498"/>
      <c r="U4" s="40"/>
      <c r="V4" s="32"/>
      <c r="W4" s="496" t="s">
        <v>361</v>
      </c>
      <c r="X4" s="497"/>
      <c r="Y4" s="497"/>
      <c r="Z4" s="498"/>
      <c r="AA4" s="32"/>
      <c r="AB4" s="164"/>
      <c r="AC4" s="164"/>
      <c r="AD4" s="164"/>
      <c r="AE4" s="164"/>
      <c r="AF4" s="164"/>
      <c r="AG4" s="164"/>
      <c r="AH4" s="164"/>
      <c r="AI4" s="164"/>
      <c r="AJ4" s="164"/>
      <c r="AK4" s="164"/>
      <c r="AL4" s="164"/>
      <c r="AM4" s="164"/>
      <c r="AN4" s="300"/>
      <c r="AO4" s="300"/>
      <c r="AP4" s="300"/>
      <c r="AQ4" s="300"/>
      <c r="AR4" s="300"/>
      <c r="AS4" s="300"/>
      <c r="AT4" s="300"/>
      <c r="AU4" s="300"/>
      <c r="AV4" s="300"/>
      <c r="AW4" s="300"/>
      <c r="AX4" s="300"/>
    </row>
    <row r="5" spans="1:51" ht="30.75" customHeight="1" thickTop="1" thickBot="1" x14ac:dyDescent="0.25">
      <c r="A5" s="362" t="s">
        <v>348</v>
      </c>
      <c r="B5" s="549" t="s">
        <v>125</v>
      </c>
      <c r="C5" s="549"/>
      <c r="D5" s="550"/>
      <c r="E5" s="13"/>
      <c r="F5" s="362" t="s">
        <v>348</v>
      </c>
      <c r="G5" s="549" t="s">
        <v>125</v>
      </c>
      <c r="H5" s="549"/>
      <c r="I5" s="550"/>
      <c r="J5" s="347"/>
      <c r="K5" s="347"/>
      <c r="L5" s="362" t="s">
        <v>348</v>
      </c>
      <c r="M5" s="551" t="str">
        <f>G5</f>
        <v>Intermittent</v>
      </c>
      <c r="N5" s="551"/>
      <c r="O5" s="552"/>
      <c r="P5" s="32"/>
      <c r="Q5" s="362" t="s">
        <v>348</v>
      </c>
      <c r="R5" s="551" t="str">
        <f>M5</f>
        <v>Intermittent</v>
      </c>
      <c r="S5" s="551"/>
      <c r="T5" s="552"/>
      <c r="U5" s="40"/>
      <c r="V5" s="32"/>
      <c r="W5" s="362" t="s">
        <v>348</v>
      </c>
      <c r="X5" s="551" t="str">
        <f>R5</f>
        <v>Intermittent</v>
      </c>
      <c r="Y5" s="551"/>
      <c r="Z5" s="552"/>
      <c r="AA5" s="32"/>
      <c r="AB5" s="164"/>
      <c r="AC5" s="164"/>
      <c r="AD5" s="164"/>
      <c r="AE5" s="164"/>
      <c r="AF5" s="164"/>
      <c r="AG5" s="164"/>
      <c r="AH5" s="164"/>
      <c r="AI5" s="164"/>
      <c r="AJ5" s="164"/>
      <c r="AK5" s="164"/>
      <c r="AL5" s="164"/>
      <c r="AM5" s="164"/>
      <c r="AN5" s="300"/>
      <c r="AO5" s="300"/>
      <c r="AP5" s="300"/>
      <c r="AQ5" s="300"/>
      <c r="AR5" s="300"/>
      <c r="AS5" s="300"/>
      <c r="AT5" s="300"/>
      <c r="AU5" s="300"/>
      <c r="AV5" s="300"/>
      <c r="AW5" s="300"/>
      <c r="AX5" s="300"/>
    </row>
    <row r="6" spans="1:51" ht="30.75" customHeight="1" thickTop="1" thickBot="1" x14ac:dyDescent="0.25">
      <c r="A6" s="502" t="s">
        <v>325</v>
      </c>
      <c r="B6" s="503"/>
      <c r="C6" s="504"/>
      <c r="D6" s="375">
        <v>4</v>
      </c>
      <c r="E6" s="13"/>
      <c r="F6" s="502" t="s">
        <v>325</v>
      </c>
      <c r="G6" s="503"/>
      <c r="H6" s="504"/>
      <c r="I6" s="375">
        <v>5</v>
      </c>
      <c r="J6" s="336"/>
      <c r="K6" s="336"/>
      <c r="L6" s="502" t="s">
        <v>325</v>
      </c>
      <c r="M6" s="503"/>
      <c r="N6" s="504"/>
      <c r="O6" s="363">
        <f>I6</f>
        <v>5</v>
      </c>
      <c r="P6" s="32"/>
      <c r="Q6" s="502" t="s">
        <v>325</v>
      </c>
      <c r="R6" s="503"/>
      <c r="S6" s="504"/>
      <c r="T6" s="363">
        <f>O6</f>
        <v>5</v>
      </c>
      <c r="U6" s="40"/>
      <c r="V6" s="32"/>
      <c r="W6" s="502" t="s">
        <v>325</v>
      </c>
      <c r="X6" s="503"/>
      <c r="Y6" s="504"/>
      <c r="Z6" s="363">
        <f>T6</f>
        <v>5</v>
      </c>
      <c r="AA6" s="32"/>
      <c r="AB6" s="164"/>
      <c r="AC6" s="164"/>
      <c r="AD6" s="164"/>
      <c r="AE6" s="164"/>
      <c r="AF6" s="164"/>
      <c r="AG6" s="164"/>
      <c r="AH6" s="164"/>
      <c r="AI6" s="164"/>
      <c r="AJ6" s="164"/>
      <c r="AK6" s="164"/>
      <c r="AL6" s="164"/>
      <c r="AM6" s="164"/>
      <c r="AN6" s="300"/>
      <c r="AO6" s="300"/>
      <c r="AP6" s="300"/>
      <c r="AQ6" s="300"/>
      <c r="AR6" s="300"/>
      <c r="AS6" s="300"/>
      <c r="AT6" s="300"/>
      <c r="AU6" s="300"/>
      <c r="AV6" s="300"/>
      <c r="AW6" s="300"/>
      <c r="AX6" s="300"/>
    </row>
    <row r="7" spans="1:51" ht="30.75" customHeight="1" thickTop="1" thickBot="1" x14ac:dyDescent="0.25">
      <c r="A7" s="499" t="s">
        <v>169</v>
      </c>
      <c r="B7" s="500"/>
      <c r="C7" s="500"/>
      <c r="D7" s="501"/>
      <c r="E7" s="13"/>
      <c r="F7" s="499" t="s">
        <v>169</v>
      </c>
      <c r="G7" s="500"/>
      <c r="H7" s="500"/>
      <c r="I7" s="501"/>
      <c r="J7" s="336"/>
      <c r="K7" s="336"/>
      <c r="L7" s="499" t="s">
        <v>169</v>
      </c>
      <c r="M7" s="500"/>
      <c r="N7" s="500"/>
      <c r="O7" s="501"/>
      <c r="P7" s="32"/>
      <c r="Q7" s="499" t="s">
        <v>169</v>
      </c>
      <c r="R7" s="500"/>
      <c r="S7" s="500"/>
      <c r="T7" s="501"/>
      <c r="U7" s="40"/>
      <c r="V7" s="32"/>
      <c r="W7" s="499" t="s">
        <v>169</v>
      </c>
      <c r="X7" s="500"/>
      <c r="Y7" s="500"/>
      <c r="Z7" s="501"/>
      <c r="AA7" s="32"/>
      <c r="AB7" s="164"/>
      <c r="AC7" s="164"/>
      <c r="AD7" s="164"/>
      <c r="AE7" s="164"/>
      <c r="AF7" s="164"/>
      <c r="AG7" s="164"/>
      <c r="AH7" s="164"/>
      <c r="AI7" s="164"/>
      <c r="AJ7" s="164"/>
      <c r="AK7" s="164"/>
      <c r="AL7" s="164"/>
      <c r="AM7" s="164"/>
      <c r="AN7" s="300"/>
      <c r="AO7" s="300"/>
      <c r="AP7" s="300"/>
      <c r="AQ7" s="300"/>
      <c r="AR7" s="300"/>
      <c r="AS7" s="300"/>
      <c r="AT7" s="300"/>
      <c r="AU7" s="300"/>
      <c r="AV7" s="300"/>
      <c r="AW7" s="300"/>
      <c r="AX7" s="300"/>
    </row>
    <row r="8" spans="1:51" ht="20.25" customHeight="1" thickTop="1" x14ac:dyDescent="0.2">
      <c r="A8" s="505"/>
      <c r="B8" s="506"/>
      <c r="C8" s="507"/>
      <c r="D8" s="228" t="s">
        <v>172</v>
      </c>
      <c r="E8" s="13"/>
      <c r="F8" s="505"/>
      <c r="G8" s="506"/>
      <c r="H8" s="507"/>
      <c r="I8" s="228" t="s">
        <v>172</v>
      </c>
      <c r="J8" s="216"/>
      <c r="K8" s="216"/>
      <c r="L8" s="505"/>
      <c r="M8" s="506"/>
      <c r="N8" s="507"/>
      <c r="O8" s="228" t="s">
        <v>172</v>
      </c>
      <c r="P8" s="32"/>
      <c r="Q8" s="505"/>
      <c r="R8" s="506"/>
      <c r="S8" s="507"/>
      <c r="T8" s="228" t="s">
        <v>172</v>
      </c>
      <c r="U8" s="40"/>
      <c r="V8" s="32"/>
      <c r="W8" s="505"/>
      <c r="X8" s="506"/>
      <c r="Y8" s="507"/>
      <c r="Z8" s="228" t="s">
        <v>172</v>
      </c>
      <c r="AA8" s="32"/>
      <c r="AB8" s="164"/>
      <c r="AC8" s="164"/>
      <c r="AD8" s="164"/>
      <c r="AE8" s="164"/>
      <c r="AF8" s="164"/>
      <c r="AG8" s="164"/>
      <c r="AH8" s="164"/>
      <c r="AI8" s="164"/>
      <c r="AJ8" s="164"/>
      <c r="AK8" s="164"/>
      <c r="AL8" s="164"/>
      <c r="AM8" s="164"/>
      <c r="AN8" s="300"/>
      <c r="AO8" s="300"/>
      <c r="AP8" s="300"/>
      <c r="AQ8" s="300"/>
      <c r="AR8" s="300"/>
      <c r="AS8" s="300"/>
      <c r="AT8" s="300"/>
      <c r="AU8" s="300"/>
      <c r="AV8" s="300"/>
      <c r="AW8" s="300"/>
      <c r="AX8" s="300"/>
    </row>
    <row r="9" spans="1:51" ht="15" x14ac:dyDescent="0.2">
      <c r="A9" s="219" t="s">
        <v>173</v>
      </c>
      <c r="B9" s="508">
        <v>0.8</v>
      </c>
      <c r="C9" s="508"/>
      <c r="D9" s="510">
        <f>IF(D6&gt;=4,(B9+B10+B11)/3,0)</f>
        <v>0.75</v>
      </c>
      <c r="E9" s="13"/>
      <c r="F9" s="219" t="s">
        <v>173</v>
      </c>
      <c r="G9" s="508">
        <v>0.8</v>
      </c>
      <c r="H9" s="508"/>
      <c r="I9" s="510">
        <f>IF(I6&gt;=4,(G9+G10+G11)/3,0)</f>
        <v>0.83333333333333337</v>
      </c>
      <c r="J9" s="199"/>
      <c r="K9" s="199"/>
      <c r="L9" s="219" t="s">
        <v>173</v>
      </c>
      <c r="M9" s="508">
        <v>0.8</v>
      </c>
      <c r="N9" s="508"/>
      <c r="O9" s="510">
        <f>IF(O6&gt;=4,(M9+M10+M11)/3,0)</f>
        <v>0.83333333333333337</v>
      </c>
      <c r="P9" s="32"/>
      <c r="Q9" s="219" t="s">
        <v>173</v>
      </c>
      <c r="R9" s="508">
        <v>0.8</v>
      </c>
      <c r="S9" s="508"/>
      <c r="T9" s="510">
        <f>IF(T6&gt;=4,(R9+R10+R11)/3,0)</f>
        <v>0.83333333333333337</v>
      </c>
      <c r="U9" s="40"/>
      <c r="V9" s="32"/>
      <c r="W9" s="219" t="s">
        <v>173</v>
      </c>
      <c r="X9" s="508">
        <v>0.8</v>
      </c>
      <c r="Y9" s="508"/>
      <c r="Z9" s="510">
        <f>IF(Z6&gt;=4,(X9+X10+X11)/3,0)</f>
        <v>0.83333333333333337</v>
      </c>
      <c r="AA9" s="32"/>
      <c r="AB9" s="164"/>
      <c r="AC9" s="164"/>
      <c r="AD9" s="164"/>
      <c r="AE9" s="164"/>
      <c r="AF9" s="164"/>
      <c r="AG9" s="164"/>
      <c r="AH9" s="164"/>
      <c r="AI9" s="164"/>
      <c r="AJ9" s="164"/>
      <c r="AK9" s="164"/>
      <c r="AL9" s="164"/>
      <c r="AM9" s="164"/>
      <c r="AN9" s="300"/>
      <c r="AO9" s="300"/>
      <c r="AP9" s="300"/>
      <c r="AQ9" s="300"/>
      <c r="AR9" s="300"/>
      <c r="AS9" s="300"/>
      <c r="AT9" s="300"/>
      <c r="AU9" s="300"/>
      <c r="AV9" s="300"/>
      <c r="AW9" s="300"/>
      <c r="AX9" s="300"/>
    </row>
    <row r="10" spans="1:51" ht="15" x14ac:dyDescent="0.2">
      <c r="A10" s="219" t="s">
        <v>174</v>
      </c>
      <c r="B10" s="508">
        <v>0.7</v>
      </c>
      <c r="C10" s="508"/>
      <c r="D10" s="510"/>
      <c r="E10" s="13"/>
      <c r="F10" s="219" t="s">
        <v>174</v>
      </c>
      <c r="G10" s="508">
        <v>0.9</v>
      </c>
      <c r="H10" s="508"/>
      <c r="I10" s="510"/>
      <c r="J10" s="199"/>
      <c r="K10" s="199"/>
      <c r="L10" s="219" t="s">
        <v>174</v>
      </c>
      <c r="M10" s="508">
        <v>0.9</v>
      </c>
      <c r="N10" s="508"/>
      <c r="O10" s="510"/>
      <c r="P10" s="32"/>
      <c r="Q10" s="219" t="s">
        <v>174</v>
      </c>
      <c r="R10" s="508">
        <v>0.9</v>
      </c>
      <c r="S10" s="508"/>
      <c r="T10" s="510"/>
      <c r="U10" s="40"/>
      <c r="V10" s="32"/>
      <c r="W10" s="219" t="s">
        <v>174</v>
      </c>
      <c r="X10" s="508">
        <v>0.9</v>
      </c>
      <c r="Y10" s="508"/>
      <c r="Z10" s="510"/>
      <c r="AA10" s="32"/>
      <c r="AB10" s="164"/>
      <c r="AC10" s="164"/>
      <c r="AD10" s="164"/>
      <c r="AE10" s="164"/>
      <c r="AF10" s="164"/>
      <c r="AG10" s="164"/>
      <c r="AH10" s="164"/>
      <c r="AI10" s="164"/>
      <c r="AJ10" s="164"/>
      <c r="AK10" s="164"/>
      <c r="AL10" s="164"/>
      <c r="AM10" s="164"/>
      <c r="AN10" s="300"/>
      <c r="AO10" s="300"/>
      <c r="AP10" s="300"/>
      <c r="AQ10" s="300"/>
      <c r="AR10" s="300"/>
      <c r="AS10" s="300"/>
      <c r="AT10" s="300"/>
      <c r="AU10" s="300"/>
      <c r="AV10" s="300"/>
      <c r="AW10" s="300"/>
      <c r="AX10" s="300"/>
    </row>
    <row r="11" spans="1:51" ht="15" x14ac:dyDescent="0.2">
      <c r="A11" s="214" t="s">
        <v>175</v>
      </c>
      <c r="B11" s="509">
        <v>0.75</v>
      </c>
      <c r="C11" s="509"/>
      <c r="D11" s="510"/>
      <c r="E11" s="14"/>
      <c r="F11" s="214" t="s">
        <v>175</v>
      </c>
      <c r="G11" s="509">
        <v>0.8</v>
      </c>
      <c r="H11" s="509"/>
      <c r="I11" s="510"/>
      <c r="J11" s="25"/>
      <c r="K11" s="14"/>
      <c r="L11" s="214" t="s">
        <v>175</v>
      </c>
      <c r="M11" s="509">
        <v>0.8</v>
      </c>
      <c r="N11" s="509"/>
      <c r="O11" s="510"/>
      <c r="P11" s="32"/>
      <c r="Q11" s="214" t="s">
        <v>175</v>
      </c>
      <c r="R11" s="509">
        <v>0.8</v>
      </c>
      <c r="S11" s="509"/>
      <c r="T11" s="510"/>
      <c r="U11" s="32"/>
      <c r="V11" s="32"/>
      <c r="W11" s="214" t="s">
        <v>175</v>
      </c>
      <c r="X11" s="509">
        <v>0.8</v>
      </c>
      <c r="Y11" s="509"/>
      <c r="Z11" s="510"/>
      <c r="AA11" s="32"/>
      <c r="AB11" s="164"/>
      <c r="AC11" s="164"/>
      <c r="AD11" s="164"/>
      <c r="AE11" s="164"/>
      <c r="AF11" s="164"/>
      <c r="AG11" s="164"/>
      <c r="AH11" s="164"/>
      <c r="AI11" s="164"/>
      <c r="AJ11" s="164"/>
      <c r="AK11" s="164"/>
      <c r="AL11" s="164"/>
      <c r="AM11" s="164"/>
      <c r="AN11" s="300"/>
      <c r="AO11" s="300"/>
      <c r="AP11" s="300"/>
      <c r="AQ11" s="300"/>
      <c r="AR11" s="300"/>
      <c r="AS11" s="300"/>
      <c r="AT11" s="300"/>
      <c r="AU11" s="300"/>
      <c r="AV11" s="300"/>
      <c r="AW11" s="300"/>
      <c r="AX11" s="300"/>
    </row>
    <row r="12" spans="1:51" ht="28.5" customHeight="1" x14ac:dyDescent="0.2">
      <c r="A12" s="536" t="s">
        <v>17</v>
      </c>
      <c r="B12" s="537"/>
      <c r="C12" s="537"/>
      <c r="D12" s="538"/>
      <c r="E12" s="15"/>
      <c r="F12" s="536" t="s">
        <v>17</v>
      </c>
      <c r="G12" s="537"/>
      <c r="H12" s="537"/>
      <c r="I12" s="538"/>
      <c r="J12" s="26"/>
      <c r="K12" s="24"/>
      <c r="L12" s="536" t="s">
        <v>17</v>
      </c>
      <c r="M12" s="537"/>
      <c r="N12" s="537"/>
      <c r="O12" s="538"/>
      <c r="P12" s="32"/>
      <c r="Q12" s="536" t="s">
        <v>17</v>
      </c>
      <c r="R12" s="537"/>
      <c r="S12" s="537"/>
      <c r="T12" s="538"/>
      <c r="U12" s="32"/>
      <c r="V12" s="32"/>
      <c r="W12" s="536" t="s">
        <v>17</v>
      </c>
      <c r="X12" s="537"/>
      <c r="Y12" s="537"/>
      <c r="Z12" s="538"/>
      <c r="AA12" s="32"/>
      <c r="AB12" s="164"/>
      <c r="AC12" s="164"/>
      <c r="AD12" s="164"/>
      <c r="AE12" s="164"/>
      <c r="AF12" s="164"/>
      <c r="AG12" s="164"/>
      <c r="AH12" s="164"/>
      <c r="AI12" s="164"/>
      <c r="AJ12" s="164"/>
      <c r="AK12" s="164"/>
      <c r="AL12" s="164"/>
      <c r="AM12" s="164"/>
      <c r="AN12" s="307"/>
      <c r="AO12" s="307"/>
      <c r="AP12" s="307"/>
      <c r="AQ12" s="307"/>
      <c r="AR12" s="307"/>
      <c r="AS12" s="307"/>
      <c r="AT12" s="307"/>
      <c r="AU12" s="307"/>
      <c r="AV12" s="307"/>
      <c r="AW12" s="307"/>
      <c r="AX12" s="307"/>
      <c r="AY12" s="106"/>
    </row>
    <row r="13" spans="1:51" ht="24.75" customHeight="1" x14ac:dyDescent="0.2">
      <c r="A13" s="45"/>
      <c r="B13" s="392" t="s">
        <v>47</v>
      </c>
      <c r="C13" s="392" t="s">
        <v>55</v>
      </c>
      <c r="D13" s="393" t="s">
        <v>14</v>
      </c>
      <c r="E13" s="16"/>
      <c r="F13" s="45"/>
      <c r="G13" s="392" t="s">
        <v>47</v>
      </c>
      <c r="H13" s="392" t="s">
        <v>55</v>
      </c>
      <c r="I13" s="393" t="s">
        <v>14</v>
      </c>
      <c r="J13" s="16"/>
      <c r="K13" s="24"/>
      <c r="L13" s="45"/>
      <c r="M13" s="392" t="s">
        <v>47</v>
      </c>
      <c r="N13" s="392" t="s">
        <v>55</v>
      </c>
      <c r="O13" s="393" t="s">
        <v>14</v>
      </c>
      <c r="P13" s="32"/>
      <c r="Q13" s="45"/>
      <c r="R13" s="392" t="s">
        <v>47</v>
      </c>
      <c r="S13" s="392" t="s">
        <v>55</v>
      </c>
      <c r="T13" s="393" t="s">
        <v>14</v>
      </c>
      <c r="U13" s="32"/>
      <c r="V13" s="32"/>
      <c r="W13" s="45"/>
      <c r="X13" s="392" t="s">
        <v>47</v>
      </c>
      <c r="Y13" s="392" t="s">
        <v>55</v>
      </c>
      <c r="Z13" s="393" t="s">
        <v>14</v>
      </c>
      <c r="AA13" s="32"/>
      <c r="AB13" s="164"/>
      <c r="AC13" s="164"/>
      <c r="AD13" s="164"/>
      <c r="AE13" s="164"/>
      <c r="AF13" s="164"/>
      <c r="AG13" s="164"/>
      <c r="AH13" s="164"/>
      <c r="AI13" s="164"/>
      <c r="AJ13" s="164"/>
      <c r="AK13" s="164"/>
      <c r="AL13" s="164"/>
      <c r="AM13" s="164"/>
      <c r="AN13" s="309"/>
      <c r="AO13" s="309"/>
      <c r="AP13" s="309"/>
      <c r="AQ13" s="309"/>
      <c r="AR13" s="309"/>
      <c r="AS13" s="309"/>
      <c r="AT13" s="309"/>
      <c r="AU13" s="309"/>
      <c r="AV13" s="309"/>
      <c r="AW13" s="309"/>
      <c r="AX13" s="309"/>
      <c r="AY13" s="309"/>
    </row>
    <row r="14" spans="1:51" ht="24.75" customHeight="1" x14ac:dyDescent="0.2">
      <c r="A14" s="542" t="s">
        <v>179</v>
      </c>
      <c r="B14" s="543"/>
      <c r="C14" s="543"/>
      <c r="D14" s="544"/>
      <c r="E14" s="17"/>
      <c r="F14" s="542" t="s">
        <v>179</v>
      </c>
      <c r="G14" s="543"/>
      <c r="H14" s="543"/>
      <c r="I14" s="544"/>
      <c r="J14" s="27"/>
      <c r="K14" s="24"/>
      <c r="L14" s="542" t="s">
        <v>179</v>
      </c>
      <c r="M14" s="543"/>
      <c r="N14" s="543"/>
      <c r="O14" s="544"/>
      <c r="P14" s="32"/>
      <c r="Q14" s="542" t="s">
        <v>179</v>
      </c>
      <c r="R14" s="543"/>
      <c r="S14" s="543"/>
      <c r="T14" s="544"/>
      <c r="U14" s="32"/>
      <c r="V14" s="32"/>
      <c r="W14" s="542" t="s">
        <v>179</v>
      </c>
      <c r="X14" s="543"/>
      <c r="Y14" s="543"/>
      <c r="Z14" s="544"/>
      <c r="AA14" s="32"/>
      <c r="AB14" s="164"/>
      <c r="AC14" s="291"/>
      <c r="AD14" s="292"/>
      <c r="AE14" s="292"/>
      <c r="AF14" s="164"/>
      <c r="AG14" s="164"/>
      <c r="AH14" s="164"/>
      <c r="AI14" s="164"/>
      <c r="AJ14" s="164"/>
      <c r="AK14" s="164"/>
      <c r="AL14" s="164"/>
      <c r="AM14" s="164"/>
      <c r="AN14" s="309"/>
      <c r="AO14" s="309">
        <v>0</v>
      </c>
      <c r="AP14" s="309"/>
      <c r="AQ14" s="309"/>
      <c r="AR14" s="309"/>
      <c r="AS14" s="309"/>
      <c r="AT14" s="309"/>
      <c r="AU14" s="309"/>
      <c r="AV14" s="309"/>
      <c r="AW14" s="309"/>
      <c r="AX14" s="309"/>
      <c r="AY14" s="309"/>
    </row>
    <row r="15" spans="1:51" ht="18.75" customHeight="1" x14ac:dyDescent="0.2">
      <c r="A15" s="539" t="s">
        <v>54</v>
      </c>
      <c r="B15" s="540"/>
      <c r="C15" s="540"/>
      <c r="D15" s="541"/>
      <c r="E15" s="18"/>
      <c r="F15" s="539" t="s">
        <v>54</v>
      </c>
      <c r="G15" s="540"/>
      <c r="H15" s="540"/>
      <c r="I15" s="541"/>
      <c r="J15" s="28"/>
      <c r="K15" s="24"/>
      <c r="L15" s="539" t="s">
        <v>54</v>
      </c>
      <c r="M15" s="540"/>
      <c r="N15" s="540"/>
      <c r="O15" s="541"/>
      <c r="P15" s="32"/>
      <c r="Q15" s="539" t="s">
        <v>54</v>
      </c>
      <c r="R15" s="540"/>
      <c r="S15" s="540"/>
      <c r="T15" s="541"/>
      <c r="U15" s="32"/>
      <c r="V15" s="32"/>
      <c r="W15" s="539" t="s">
        <v>54</v>
      </c>
      <c r="X15" s="540"/>
      <c r="Y15" s="540"/>
      <c r="Z15" s="541"/>
      <c r="AA15" s="32"/>
      <c r="AB15" s="164"/>
      <c r="AC15" s="293"/>
      <c r="AD15" s="292"/>
      <c r="AE15" s="292"/>
      <c r="AF15" s="164"/>
      <c r="AG15" s="164"/>
      <c r="AH15" s="164"/>
      <c r="AI15" s="164"/>
      <c r="AJ15" s="164"/>
      <c r="AK15" s="164"/>
      <c r="AL15" s="164"/>
      <c r="AM15" s="164"/>
      <c r="AN15" s="309" t="s">
        <v>54</v>
      </c>
      <c r="AO15" s="309">
        <v>1</v>
      </c>
      <c r="AP15" s="310" t="s">
        <v>20</v>
      </c>
      <c r="AQ15" s="310" t="s">
        <v>28</v>
      </c>
      <c r="AR15" s="310" t="s">
        <v>34</v>
      </c>
      <c r="AS15" s="311" t="s">
        <v>36</v>
      </c>
      <c r="AT15" s="310" t="s">
        <v>81</v>
      </c>
      <c r="AU15" s="310" t="s">
        <v>308</v>
      </c>
      <c r="AV15" s="309"/>
      <c r="AW15" s="309"/>
      <c r="AX15" s="309" t="s">
        <v>124</v>
      </c>
      <c r="AY15" s="309"/>
    </row>
    <row r="16" spans="1:51" ht="12.75" customHeight="1" x14ac:dyDescent="0.2">
      <c r="A16" s="209" t="str">
        <f>IF(A15="USEPA RBP (High Gradient Data Sheet)","1. Epifaunal Substrate/Available Cover","1. Epifaunal Substrate/Available Cover")</f>
        <v>1. Epifaunal Substrate/Available Cover</v>
      </c>
      <c r="B16" s="44" t="s">
        <v>5</v>
      </c>
      <c r="C16" s="479" t="s">
        <v>46</v>
      </c>
      <c r="D16" s="181">
        <v>15</v>
      </c>
      <c r="E16" s="19"/>
      <c r="F16" s="209" t="str">
        <f>IF(F15="USEPA RBP (High Gradient Data Sheet)","1. Epifaunal Substrate/Available Cover","1. Epifaunal Substrate/Available Cover")</f>
        <v>1. Epifaunal Substrate/Available Cover</v>
      </c>
      <c r="G16" s="44" t="s">
        <v>5</v>
      </c>
      <c r="H16" s="444" t="s">
        <v>46</v>
      </c>
      <c r="I16" s="181">
        <v>18</v>
      </c>
      <c r="J16" s="29"/>
      <c r="K16" s="24"/>
      <c r="L16" s="209" t="str">
        <f>IF(L15="USEPA RBP (High Gradient Data Sheet)","1. Epifaunal Substrate/Available Cover","1. Epifaunal Substrate/Available Cover")</f>
        <v>1. Epifaunal Substrate/Available Cover</v>
      </c>
      <c r="M16" s="44" t="s">
        <v>5</v>
      </c>
      <c r="N16" s="444" t="s">
        <v>46</v>
      </c>
      <c r="O16" s="181">
        <v>18</v>
      </c>
      <c r="P16" s="148"/>
      <c r="Q16" s="209" t="str">
        <f>IF(Q15="USEPA RBP (High Gradient Data Sheet)","1. Epifaunal Substrate/Available Cover","1. Epifaunal Substrate/Available Cover")</f>
        <v>1. Epifaunal Substrate/Available Cover</v>
      </c>
      <c r="R16" s="44" t="s">
        <v>5</v>
      </c>
      <c r="S16" s="444" t="s">
        <v>46</v>
      </c>
      <c r="T16" s="181">
        <v>18</v>
      </c>
      <c r="U16" s="148"/>
      <c r="V16" s="32"/>
      <c r="W16" s="209" t="str">
        <f>IF(W15="USEPA RBP (High Gradient Data Sheet)","1. Epifaunal Substrate/Available Cover","1. Epifaunal Substrate/Available Cover")</f>
        <v>1. Epifaunal Substrate/Available Cover</v>
      </c>
      <c r="X16" s="44" t="s">
        <v>5</v>
      </c>
      <c r="Y16" s="444" t="s">
        <v>46</v>
      </c>
      <c r="Z16" s="181">
        <v>18</v>
      </c>
      <c r="AA16" s="32"/>
      <c r="AB16" s="164"/>
      <c r="AC16" s="294"/>
      <c r="AD16" s="292"/>
      <c r="AE16" s="292"/>
      <c r="AF16" s="164"/>
      <c r="AG16" s="164"/>
      <c r="AH16" s="164"/>
      <c r="AI16" s="164"/>
      <c r="AJ16" s="164"/>
      <c r="AK16" s="164"/>
      <c r="AL16" s="164"/>
      <c r="AM16" s="164"/>
      <c r="AN16" s="309" t="s">
        <v>61</v>
      </c>
      <c r="AO16" s="309">
        <v>2</v>
      </c>
      <c r="AP16" s="310" t="s">
        <v>21</v>
      </c>
      <c r="AQ16" s="310" t="s">
        <v>29</v>
      </c>
      <c r="AR16" s="310" t="s">
        <v>35</v>
      </c>
      <c r="AS16" s="311" t="s">
        <v>37</v>
      </c>
      <c r="AT16" s="310" t="s">
        <v>82</v>
      </c>
      <c r="AU16" s="310" t="s">
        <v>309</v>
      </c>
      <c r="AV16" s="309"/>
      <c r="AW16" s="309"/>
      <c r="AX16" s="309" t="s">
        <v>125</v>
      </c>
      <c r="AY16" s="309"/>
    </row>
    <row r="17" spans="1:51" ht="15" x14ac:dyDescent="0.2">
      <c r="A17" s="209" t="str">
        <f>IF(A15="USEPA RBP (High Gradient Data Sheet)","2. Embeddedness", "2. Pool Substrate Characterization")</f>
        <v>2. Embeddedness</v>
      </c>
      <c r="B17" s="44" t="s">
        <v>5</v>
      </c>
      <c r="C17" s="480"/>
      <c r="D17" s="181">
        <v>15</v>
      </c>
      <c r="E17" s="20"/>
      <c r="F17" s="209" t="str">
        <f>IF(F15="USEPA RBP (High Gradient Data Sheet)","2. Embeddedness", "2. Pool Substrate Characterization")</f>
        <v>2. Embeddedness</v>
      </c>
      <c r="G17" s="44" t="s">
        <v>5</v>
      </c>
      <c r="H17" s="445"/>
      <c r="I17" s="181">
        <v>18</v>
      </c>
      <c r="J17" s="29"/>
      <c r="K17" s="24"/>
      <c r="L17" s="209" t="str">
        <f>IF(L15="USEPA RBP (High Gradient Data Sheet)","2. Embeddedness", "2. Pool Substrate Characterization")</f>
        <v>2. Embeddedness</v>
      </c>
      <c r="M17" s="44" t="s">
        <v>5</v>
      </c>
      <c r="N17" s="445"/>
      <c r="O17" s="181">
        <v>18</v>
      </c>
      <c r="P17" s="148"/>
      <c r="Q17" s="209" t="str">
        <f>IF(Q15="USEPA RBP (High Gradient Data Sheet)","2. Embeddedness", "2. Pool Substrate Characterization")</f>
        <v>2. Embeddedness</v>
      </c>
      <c r="R17" s="44" t="s">
        <v>5</v>
      </c>
      <c r="S17" s="445"/>
      <c r="T17" s="181">
        <v>18</v>
      </c>
      <c r="U17" s="148"/>
      <c r="V17" s="32"/>
      <c r="W17" s="209" t="str">
        <f>IF(W15="USEPA RBP (High Gradient Data Sheet)","2. Embeddedness", "2. Pool Substrate Characterization")</f>
        <v>2. Embeddedness</v>
      </c>
      <c r="X17" s="44" t="s">
        <v>5</v>
      </c>
      <c r="Y17" s="445"/>
      <c r="Z17" s="181">
        <v>18</v>
      </c>
      <c r="AA17" s="32"/>
      <c r="AB17" s="164"/>
      <c r="AC17" s="295"/>
      <c r="AD17" s="292"/>
      <c r="AE17" s="292"/>
      <c r="AF17" s="164"/>
      <c r="AG17" s="164"/>
      <c r="AH17" s="164"/>
      <c r="AI17" s="164"/>
      <c r="AJ17" s="164"/>
      <c r="AK17" s="164"/>
      <c r="AL17" s="164"/>
      <c r="AM17" s="164"/>
      <c r="AN17" s="309"/>
      <c r="AO17" s="309">
        <v>3</v>
      </c>
      <c r="AP17" s="310" t="s">
        <v>22</v>
      </c>
      <c r="AQ17" s="310" t="s">
        <v>30</v>
      </c>
      <c r="AR17" s="309"/>
      <c r="AS17" s="311" t="s">
        <v>38</v>
      </c>
      <c r="AT17" s="310" t="s">
        <v>83</v>
      </c>
      <c r="AU17" s="312" t="s">
        <v>362</v>
      </c>
      <c r="AV17" s="309"/>
      <c r="AW17" s="309"/>
      <c r="AX17" s="309" t="s">
        <v>126</v>
      </c>
      <c r="AY17" s="309"/>
    </row>
    <row r="18" spans="1:51" ht="15" x14ac:dyDescent="0.2">
      <c r="A18" s="209" t="str">
        <f>IF(A15="USEPA RBP (High Gradient Data Sheet)","3. Velocity/ Depth Regime","3. Pool Variability")</f>
        <v>3. Velocity/ Depth Regime</v>
      </c>
      <c r="B18" s="44" t="s">
        <v>5</v>
      </c>
      <c r="C18" s="480"/>
      <c r="D18" s="181">
        <v>15</v>
      </c>
      <c r="E18" s="20"/>
      <c r="F18" s="209" t="str">
        <f>IF(F15="USEPA RBP (High Gradient Data Sheet)","3. Velocity/ Depth Regime","3. Pool Variability")</f>
        <v>3. Velocity/ Depth Regime</v>
      </c>
      <c r="G18" s="44" t="s">
        <v>5</v>
      </c>
      <c r="H18" s="445"/>
      <c r="I18" s="181">
        <v>18</v>
      </c>
      <c r="J18" s="29"/>
      <c r="K18" s="24"/>
      <c r="L18" s="209" t="str">
        <f>IF(L15="USEPA RBP (High Gradient Data Sheet)","3. Velocity/ Depth Regime","3. Pool Variability")</f>
        <v>3. Velocity/ Depth Regime</v>
      </c>
      <c r="M18" s="44" t="s">
        <v>5</v>
      </c>
      <c r="N18" s="445"/>
      <c r="O18" s="181">
        <v>18</v>
      </c>
      <c r="P18" s="148"/>
      <c r="Q18" s="209" t="str">
        <f>IF(Q15="USEPA RBP (High Gradient Data Sheet)","3. Velocity/ Depth Regime","3. Pool Variability")</f>
        <v>3. Velocity/ Depth Regime</v>
      </c>
      <c r="R18" s="44" t="s">
        <v>5</v>
      </c>
      <c r="S18" s="445"/>
      <c r="T18" s="181">
        <v>18</v>
      </c>
      <c r="U18" s="148"/>
      <c r="V18" s="32"/>
      <c r="W18" s="209" t="str">
        <f>IF(W15="USEPA RBP (High Gradient Data Sheet)","3. Velocity/ Depth Regime","3. Pool Variability")</f>
        <v>3. Velocity/ Depth Regime</v>
      </c>
      <c r="X18" s="44" t="s">
        <v>5</v>
      </c>
      <c r="Y18" s="445"/>
      <c r="Z18" s="181">
        <v>18</v>
      </c>
      <c r="AA18" s="32"/>
      <c r="AB18" s="164"/>
      <c r="AC18" s="296"/>
      <c r="AD18" s="292"/>
      <c r="AE18" s="292"/>
      <c r="AF18" s="164"/>
      <c r="AG18" s="164"/>
      <c r="AH18" s="164"/>
      <c r="AI18" s="164"/>
      <c r="AJ18" s="164"/>
      <c r="AK18" s="164"/>
      <c r="AL18" s="164"/>
      <c r="AM18" s="164"/>
      <c r="AN18" s="309"/>
      <c r="AO18" s="309">
        <v>4</v>
      </c>
      <c r="AP18" s="310" t="s">
        <v>23</v>
      </c>
      <c r="AQ18" s="310" t="s">
        <v>31</v>
      </c>
      <c r="AR18" s="309"/>
      <c r="AS18" s="311" t="s">
        <v>39</v>
      </c>
      <c r="AT18" s="310" t="s">
        <v>59</v>
      </c>
      <c r="AU18" s="312" t="s">
        <v>310</v>
      </c>
      <c r="AV18" s="309"/>
      <c r="AW18" s="309"/>
      <c r="AX18" s="309"/>
      <c r="AY18" s="309"/>
    </row>
    <row r="19" spans="1:51" ht="12.75" customHeight="1" x14ac:dyDescent="0.2">
      <c r="A19" s="209" t="str">
        <f>IF(A15="USEPA RBP (High Gradient Data Sheet)","4. Sediment Deposition","4. Sediment Deposition")</f>
        <v>4. Sediment Deposition</v>
      </c>
      <c r="B19" s="44" t="s">
        <v>5</v>
      </c>
      <c r="C19" s="480"/>
      <c r="D19" s="181">
        <v>15</v>
      </c>
      <c r="E19" s="20"/>
      <c r="F19" s="209" t="str">
        <f>IF(F15="USEPA RBP (High Gradient Data Sheet)","4. Sediment Deposition","4. Sediment Deposition")</f>
        <v>4. Sediment Deposition</v>
      </c>
      <c r="G19" s="44" t="s">
        <v>5</v>
      </c>
      <c r="H19" s="445"/>
      <c r="I19" s="181">
        <v>18</v>
      </c>
      <c r="J19" s="29"/>
      <c r="K19" s="24"/>
      <c r="L19" s="209" t="str">
        <f>IF(L15="USEPA RBP (High Gradient Data Sheet)","4. Sediment Deposition","4. Sediment Deposition")</f>
        <v>4. Sediment Deposition</v>
      </c>
      <c r="M19" s="44" t="s">
        <v>5</v>
      </c>
      <c r="N19" s="445"/>
      <c r="O19" s="181">
        <v>18</v>
      </c>
      <c r="P19" s="149"/>
      <c r="Q19" s="209" t="str">
        <f>IF(Q15="USEPA RBP (High Gradient Data Sheet)","4. Sediment Deposition","4. Sediment Deposition")</f>
        <v>4. Sediment Deposition</v>
      </c>
      <c r="R19" s="44" t="s">
        <v>5</v>
      </c>
      <c r="S19" s="445"/>
      <c r="T19" s="181">
        <v>18</v>
      </c>
      <c r="U19" s="148"/>
      <c r="V19" s="33"/>
      <c r="W19" s="209" t="str">
        <f>IF(W15="USEPA RBP (High Gradient Data Sheet)","4. Sediment Deposition","4. Sediment Deposition")</f>
        <v>4. Sediment Deposition</v>
      </c>
      <c r="X19" s="44" t="s">
        <v>5</v>
      </c>
      <c r="Y19" s="445"/>
      <c r="Z19" s="181">
        <v>18</v>
      </c>
      <c r="AA19" s="32"/>
      <c r="AB19" s="164"/>
      <c r="AC19" s="296"/>
      <c r="AD19" s="292"/>
      <c r="AE19" s="292"/>
      <c r="AF19" s="164"/>
      <c r="AG19" s="164"/>
      <c r="AH19" s="164"/>
      <c r="AI19" s="164"/>
      <c r="AJ19" s="164"/>
      <c r="AK19" s="164"/>
      <c r="AL19" s="164"/>
      <c r="AM19" s="164"/>
      <c r="AN19" s="309"/>
      <c r="AO19" s="309">
        <v>5</v>
      </c>
      <c r="AP19" s="310" t="s">
        <v>24</v>
      </c>
      <c r="AQ19" s="310" t="s">
        <v>32</v>
      </c>
      <c r="AR19" s="309"/>
      <c r="AS19" s="311" t="s">
        <v>40</v>
      </c>
      <c r="AT19" s="309"/>
      <c r="AU19" s="312"/>
      <c r="AV19" s="309"/>
      <c r="AW19" s="309"/>
      <c r="AX19" s="309"/>
      <c r="AY19" s="309"/>
    </row>
    <row r="20" spans="1:51" ht="15" x14ac:dyDescent="0.2">
      <c r="A20" s="209" t="str">
        <f>IF(A15="USEPA RBP (High Gradient Data Sheet)","5. Channel Flow Status", "5. Channel Flow Status")</f>
        <v>5. Channel Flow Status</v>
      </c>
      <c r="B20" s="44" t="s">
        <v>5</v>
      </c>
      <c r="C20" s="480"/>
      <c r="D20" s="181">
        <v>18</v>
      </c>
      <c r="E20" s="20"/>
      <c r="F20" s="209" t="str">
        <f>IF(F15="USEPA RBP (High Gradient Data Sheet)","5. Channel Flow Status", "5. Channel Flow Status")</f>
        <v>5. Channel Flow Status</v>
      </c>
      <c r="G20" s="44" t="s">
        <v>5</v>
      </c>
      <c r="H20" s="445"/>
      <c r="I20" s="181">
        <v>18</v>
      </c>
      <c r="J20" s="29"/>
      <c r="K20" s="24"/>
      <c r="L20" s="209" t="str">
        <f>IF(L15="USEPA RBP (High Gradient Data Sheet)","5. Channel Flow Status", "5. Channel Flow Status")</f>
        <v>5. Channel Flow Status</v>
      </c>
      <c r="M20" s="44" t="s">
        <v>5</v>
      </c>
      <c r="N20" s="445"/>
      <c r="O20" s="181">
        <v>18</v>
      </c>
      <c r="P20" s="149"/>
      <c r="Q20" s="209" t="str">
        <f>IF(Q15="USEPA RBP (High Gradient Data Sheet)","5. Channel Flow Status", "5. Channel Flow Status")</f>
        <v>5. Channel Flow Status</v>
      </c>
      <c r="R20" s="44" t="s">
        <v>5</v>
      </c>
      <c r="S20" s="445"/>
      <c r="T20" s="181">
        <v>18</v>
      </c>
      <c r="U20" s="148"/>
      <c r="V20" s="33"/>
      <c r="W20" s="209" t="str">
        <f>IF(W15="USEPA RBP (High Gradient Data Sheet)","5. Channel Flow Status", "5. Channel Flow Status")</f>
        <v>5. Channel Flow Status</v>
      </c>
      <c r="X20" s="44" t="s">
        <v>5</v>
      </c>
      <c r="Y20" s="445"/>
      <c r="Z20" s="181">
        <v>18</v>
      </c>
      <c r="AA20" s="32"/>
      <c r="AB20" s="164"/>
      <c r="AC20" s="296"/>
      <c r="AD20" s="292"/>
      <c r="AE20" s="292"/>
      <c r="AF20" s="164"/>
      <c r="AG20" s="164"/>
      <c r="AH20" s="164"/>
      <c r="AI20" s="164"/>
      <c r="AJ20" s="164"/>
      <c r="AK20" s="164"/>
      <c r="AL20" s="164"/>
      <c r="AM20" s="164"/>
      <c r="AN20" s="309"/>
      <c r="AO20" s="309">
        <v>6</v>
      </c>
      <c r="AP20" s="310" t="s">
        <v>25</v>
      </c>
      <c r="AQ20" s="310" t="s">
        <v>33</v>
      </c>
      <c r="AR20" s="309"/>
      <c r="AS20" s="313" t="s">
        <v>311</v>
      </c>
      <c r="AT20" s="309"/>
      <c r="AU20" s="391"/>
      <c r="AV20" s="309"/>
      <c r="AW20" s="309"/>
      <c r="AX20" s="309"/>
      <c r="AY20" s="309"/>
    </row>
    <row r="21" spans="1:51" ht="15" x14ac:dyDescent="0.2">
      <c r="A21" s="209" t="s">
        <v>2</v>
      </c>
      <c r="B21" s="44" t="s">
        <v>5</v>
      </c>
      <c r="C21" s="480"/>
      <c r="D21" s="181">
        <v>18</v>
      </c>
      <c r="E21" s="20"/>
      <c r="F21" s="209" t="s">
        <v>2</v>
      </c>
      <c r="G21" s="44" t="s">
        <v>5</v>
      </c>
      <c r="H21" s="445"/>
      <c r="I21" s="181">
        <v>18</v>
      </c>
      <c r="J21" s="29"/>
      <c r="K21" s="24"/>
      <c r="L21" s="209" t="s">
        <v>2</v>
      </c>
      <c r="M21" s="44" t="s">
        <v>5</v>
      </c>
      <c r="N21" s="445"/>
      <c r="O21" s="181">
        <v>18</v>
      </c>
      <c r="P21" s="149"/>
      <c r="Q21" s="209" t="s">
        <v>2</v>
      </c>
      <c r="R21" s="44" t="s">
        <v>5</v>
      </c>
      <c r="S21" s="445"/>
      <c r="T21" s="181">
        <v>18</v>
      </c>
      <c r="U21" s="148"/>
      <c r="V21" s="33"/>
      <c r="W21" s="209" t="s">
        <v>2</v>
      </c>
      <c r="X21" s="44" t="s">
        <v>5</v>
      </c>
      <c r="Y21" s="445"/>
      <c r="Z21" s="181">
        <v>18</v>
      </c>
      <c r="AA21" s="32"/>
      <c r="AB21" s="164"/>
      <c r="AC21" s="296"/>
      <c r="AD21" s="292"/>
      <c r="AE21" s="292"/>
      <c r="AF21" s="164"/>
      <c r="AG21" s="164"/>
      <c r="AH21" s="164"/>
      <c r="AI21" s="164"/>
      <c r="AJ21" s="164"/>
      <c r="AK21" s="164"/>
      <c r="AL21" s="164"/>
      <c r="AM21" s="164"/>
      <c r="AN21" s="309"/>
      <c r="AO21" s="309">
        <v>7</v>
      </c>
      <c r="AP21" s="310" t="s">
        <v>26</v>
      </c>
      <c r="AQ21" s="309"/>
      <c r="AR21" s="309"/>
      <c r="AS21" s="314"/>
      <c r="AT21" s="309"/>
      <c r="AU21" s="307"/>
      <c r="AV21" s="309"/>
      <c r="AW21" s="309"/>
      <c r="AX21" s="309"/>
      <c r="AY21" s="309"/>
    </row>
    <row r="22" spans="1:51" ht="15" x14ac:dyDescent="0.2">
      <c r="A22" s="209" t="str">
        <f>IF(A15="USEPA RBP (High Gradient Data Sheet)","7. Frequency of Riffles (or bends)","7. Channel Sinuosity")</f>
        <v>7. Frequency of Riffles (or bends)</v>
      </c>
      <c r="B22" s="44" t="s">
        <v>5</v>
      </c>
      <c r="C22" s="480"/>
      <c r="D22" s="181">
        <v>18</v>
      </c>
      <c r="E22" s="20"/>
      <c r="F22" s="209" t="str">
        <f>IF(F15="USEPA RBP (High Gradient Data Sheet)","7. Frequency of Riffles (or bends)","7. Channel Sinuosity")</f>
        <v>7. Frequency of Riffles (or bends)</v>
      </c>
      <c r="G22" s="44" t="s">
        <v>5</v>
      </c>
      <c r="H22" s="445"/>
      <c r="I22" s="181">
        <v>18</v>
      </c>
      <c r="J22" s="29"/>
      <c r="K22" s="24"/>
      <c r="L22" s="209" t="str">
        <f>IF(L15="USEPA RBP (High Gradient Data Sheet)","7. Frequency of Riffles (or bends)","7. Channel Sinuosity")</f>
        <v>7. Frequency of Riffles (or bends)</v>
      </c>
      <c r="M22" s="44" t="s">
        <v>5</v>
      </c>
      <c r="N22" s="445"/>
      <c r="O22" s="181">
        <v>18</v>
      </c>
      <c r="P22" s="149"/>
      <c r="Q22" s="209" t="str">
        <f>IF(Q15="USEPA RBP (High Gradient Data Sheet)","7. Frequency of Riffles (or bends)","7. Channel Sinuosity")</f>
        <v>7. Frequency of Riffles (or bends)</v>
      </c>
      <c r="R22" s="44" t="s">
        <v>5</v>
      </c>
      <c r="S22" s="445"/>
      <c r="T22" s="181">
        <v>18</v>
      </c>
      <c r="U22" s="148"/>
      <c r="V22" s="33"/>
      <c r="W22" s="209" t="str">
        <f>IF(W15="USEPA RBP (High Gradient Data Sheet)","7. Frequency of Riffles (or bends)","7. Channel Sinuosity")</f>
        <v>7. Frequency of Riffles (or bends)</v>
      </c>
      <c r="X22" s="44" t="s">
        <v>5</v>
      </c>
      <c r="Y22" s="445"/>
      <c r="Z22" s="181">
        <v>18</v>
      </c>
      <c r="AA22" s="32"/>
      <c r="AB22" s="164"/>
      <c r="AC22" s="296"/>
      <c r="AD22" s="292"/>
      <c r="AE22" s="292"/>
      <c r="AF22" s="164"/>
      <c r="AG22" s="164"/>
      <c r="AH22" s="164"/>
      <c r="AI22" s="164"/>
      <c r="AJ22" s="164"/>
      <c r="AK22" s="164"/>
      <c r="AL22" s="164"/>
      <c r="AM22" s="164"/>
      <c r="AN22" s="309"/>
      <c r="AO22" s="309">
        <v>8</v>
      </c>
      <c r="AP22" s="310" t="s">
        <v>27</v>
      </c>
      <c r="AQ22" s="309"/>
      <c r="AR22" s="309"/>
      <c r="AS22" s="314"/>
      <c r="AT22" s="309"/>
      <c r="AU22" s="307"/>
      <c r="AV22" s="309"/>
      <c r="AW22" s="309"/>
      <c r="AX22" s="309"/>
      <c r="AY22" s="309"/>
    </row>
    <row r="23" spans="1:51" ht="15" x14ac:dyDescent="0.2">
      <c r="A23" s="209" t="s">
        <v>3</v>
      </c>
      <c r="B23" s="44" t="s">
        <v>5</v>
      </c>
      <c r="C23" s="480"/>
      <c r="D23" s="181">
        <v>18</v>
      </c>
      <c r="E23" s="20"/>
      <c r="F23" s="209" t="s">
        <v>3</v>
      </c>
      <c r="G23" s="44" t="s">
        <v>5</v>
      </c>
      <c r="H23" s="445"/>
      <c r="I23" s="181">
        <v>18</v>
      </c>
      <c r="J23" s="29"/>
      <c r="K23" s="24"/>
      <c r="L23" s="209" t="s">
        <v>3</v>
      </c>
      <c r="M23" s="44" t="s">
        <v>5</v>
      </c>
      <c r="N23" s="445"/>
      <c r="O23" s="181">
        <v>18</v>
      </c>
      <c r="P23" s="148"/>
      <c r="Q23" s="209" t="s">
        <v>3</v>
      </c>
      <c r="R23" s="44" t="s">
        <v>5</v>
      </c>
      <c r="S23" s="445"/>
      <c r="T23" s="181">
        <v>18</v>
      </c>
      <c r="U23" s="148"/>
      <c r="V23" s="32"/>
      <c r="W23" s="209" t="s">
        <v>3</v>
      </c>
      <c r="X23" s="44" t="s">
        <v>5</v>
      </c>
      <c r="Y23" s="445"/>
      <c r="Z23" s="181">
        <v>18</v>
      </c>
      <c r="AA23" s="32"/>
      <c r="AB23" s="164"/>
      <c r="AC23" s="296"/>
      <c r="AD23" s="292"/>
      <c r="AE23" s="292"/>
      <c r="AF23" s="164"/>
      <c r="AG23" s="164"/>
      <c r="AH23" s="164"/>
      <c r="AI23" s="164"/>
      <c r="AJ23" s="164"/>
      <c r="AK23" s="164"/>
      <c r="AL23" s="164"/>
      <c r="AM23" s="164"/>
      <c r="AN23" s="309"/>
      <c r="AO23" s="309">
        <v>9</v>
      </c>
      <c r="AP23" s="309"/>
      <c r="AQ23" s="309"/>
      <c r="AR23" s="309"/>
      <c r="AS23" s="309"/>
      <c r="AT23" s="309"/>
      <c r="AU23" s="309"/>
      <c r="AV23" s="309"/>
      <c r="AW23" s="309"/>
      <c r="AX23" s="309"/>
      <c r="AY23" s="309"/>
    </row>
    <row r="24" spans="1:51" ht="15" x14ac:dyDescent="0.2">
      <c r="A24" s="209" t="s">
        <v>4</v>
      </c>
      <c r="B24" s="44" t="s">
        <v>5</v>
      </c>
      <c r="C24" s="480"/>
      <c r="D24" s="181">
        <v>18</v>
      </c>
      <c r="E24" s="20"/>
      <c r="F24" s="209" t="s">
        <v>4</v>
      </c>
      <c r="G24" s="44" t="s">
        <v>5</v>
      </c>
      <c r="H24" s="445"/>
      <c r="I24" s="181">
        <v>18</v>
      </c>
      <c r="J24" s="29"/>
      <c r="K24" s="24"/>
      <c r="L24" s="209" t="s">
        <v>4</v>
      </c>
      <c r="M24" s="44" t="s">
        <v>5</v>
      </c>
      <c r="N24" s="445"/>
      <c r="O24" s="181">
        <v>18</v>
      </c>
      <c r="P24" s="148"/>
      <c r="Q24" s="209" t="s">
        <v>4</v>
      </c>
      <c r="R24" s="44" t="s">
        <v>5</v>
      </c>
      <c r="S24" s="445"/>
      <c r="T24" s="181">
        <v>18</v>
      </c>
      <c r="U24" s="148"/>
      <c r="V24" s="32"/>
      <c r="W24" s="209" t="s">
        <v>4</v>
      </c>
      <c r="X24" s="44" t="s">
        <v>5</v>
      </c>
      <c r="Y24" s="445"/>
      <c r="Z24" s="181">
        <v>18</v>
      </c>
      <c r="AA24" s="32"/>
      <c r="AB24" s="164"/>
      <c r="AC24" s="296"/>
      <c r="AD24" s="292"/>
      <c r="AE24" s="292"/>
      <c r="AF24" s="164"/>
      <c r="AG24" s="164"/>
      <c r="AH24" s="164"/>
      <c r="AI24" s="164"/>
      <c r="AJ24" s="164"/>
      <c r="AK24" s="164"/>
      <c r="AL24" s="164"/>
      <c r="AM24" s="164"/>
      <c r="AN24" s="309"/>
      <c r="AO24" s="309">
        <v>10</v>
      </c>
      <c r="AP24" s="309"/>
      <c r="AQ24" s="309"/>
      <c r="AR24" s="309"/>
      <c r="AS24" s="309"/>
      <c r="AT24" s="309"/>
      <c r="AU24" s="309"/>
      <c r="AV24" s="309"/>
      <c r="AW24" s="309"/>
      <c r="AX24" s="309"/>
      <c r="AY24" s="309"/>
    </row>
    <row r="25" spans="1:51" ht="12.75" customHeight="1" x14ac:dyDescent="0.2">
      <c r="A25" s="209" t="s">
        <v>176</v>
      </c>
      <c r="B25" s="44" t="s">
        <v>5</v>
      </c>
      <c r="C25" s="481"/>
      <c r="D25" s="181">
        <v>18</v>
      </c>
      <c r="E25" s="20"/>
      <c r="F25" s="209" t="s">
        <v>176</v>
      </c>
      <c r="G25" s="44" t="s">
        <v>5</v>
      </c>
      <c r="H25" s="446"/>
      <c r="I25" s="181">
        <v>18</v>
      </c>
      <c r="J25" s="29"/>
      <c r="K25" s="24"/>
      <c r="L25" s="209" t="s">
        <v>176</v>
      </c>
      <c r="M25" s="44" t="s">
        <v>5</v>
      </c>
      <c r="N25" s="446"/>
      <c r="O25" s="181">
        <v>18</v>
      </c>
      <c r="P25" s="148"/>
      <c r="Q25" s="209" t="s">
        <v>176</v>
      </c>
      <c r="R25" s="44" t="s">
        <v>5</v>
      </c>
      <c r="S25" s="446"/>
      <c r="T25" s="181">
        <v>18</v>
      </c>
      <c r="U25" s="149"/>
      <c r="V25" s="32"/>
      <c r="W25" s="209" t="s">
        <v>176</v>
      </c>
      <c r="X25" s="44" t="s">
        <v>5</v>
      </c>
      <c r="Y25" s="446"/>
      <c r="Z25" s="181">
        <v>18</v>
      </c>
      <c r="AA25" s="33"/>
      <c r="AB25" s="164"/>
      <c r="AC25" s="294"/>
      <c r="AD25" s="296"/>
      <c r="AE25" s="292"/>
      <c r="AF25" s="164"/>
      <c r="AG25" s="164"/>
      <c r="AH25" s="164"/>
      <c r="AI25" s="164"/>
      <c r="AJ25" s="164"/>
      <c r="AK25" s="164"/>
      <c r="AL25" s="164"/>
      <c r="AM25" s="164"/>
      <c r="AN25" s="309"/>
      <c r="AO25" s="309">
        <v>11</v>
      </c>
      <c r="AP25" s="309"/>
      <c r="AQ25" s="309"/>
      <c r="AR25" s="309"/>
      <c r="AS25" s="309"/>
      <c r="AT25" s="309"/>
      <c r="AU25" s="309"/>
      <c r="AV25" s="309"/>
      <c r="AW25" s="309"/>
      <c r="AX25" s="309"/>
      <c r="AY25" s="309"/>
    </row>
    <row r="26" spans="1:51" ht="12.75" customHeight="1" x14ac:dyDescent="0.2">
      <c r="A26" s="210" t="s">
        <v>48</v>
      </c>
      <c r="B26" s="482" t="str">
        <f>IF(AND(E27&lt;=200,E27&gt;=166),"Optimal",IF(AND(E27&lt;=165,E27&gt;=113),"Suboptimal",IF(AND(E27&lt;=112,E27&gt;=60),"Marginal",IF(AND(E27&lt;=59,E27&gt;=0),"Poor",""))))</f>
        <v>Optimal</v>
      </c>
      <c r="C26" s="482"/>
      <c r="D26" s="182">
        <f>(IF(B5="Ephemeral",SUM(D17,D19,D21,D23:D25),D16+D17+D18+D19+D20+D21+D22+D23+D24+D25))</f>
        <v>168</v>
      </c>
      <c r="E26" s="20"/>
      <c r="F26" s="210" t="s">
        <v>48</v>
      </c>
      <c r="G26" s="443" t="str">
        <f>IF(AND(J27&lt;=200,J27&gt;=166),"Optimal",IF(AND(J27&lt;=165,J27&gt;=113),"Suboptimal",IF(AND(J27&lt;=112,J27&gt;=60),"Marginal",IF(AND(J27&lt;=59,J27&gt;=0),"Poor",""))))</f>
        <v>Optimal</v>
      </c>
      <c r="H26" s="443"/>
      <c r="I26" s="182">
        <f>(IF(G5="Ephemeral",SUM(I17,I19,I21,I23:I25),I16+I17+I18+I19+I20+I21+I22+I23+I24+I25))</f>
        <v>180</v>
      </c>
      <c r="J26" s="10"/>
      <c r="K26" s="24"/>
      <c r="L26" s="210" t="s">
        <v>48</v>
      </c>
      <c r="M26" s="443" t="str">
        <f>IF(AND(V27&lt;=200,V27&gt;=166),"Optimal",IF(AND(V27&lt;=165,V27&gt;=113),"Suboptimal",IF(AND(V27&lt;=112,V27&gt;=60),"Marginal",IF(AND(V27&lt;=59,V27&gt;=0),"Poor",""))))</f>
        <v>Optimal</v>
      </c>
      <c r="N26" s="443"/>
      <c r="O26" s="182">
        <f>(IF(G5="Ephemeral",SUM(O17,O19,O21,O23:O25),O16+O17+O18+O19+O20+O21+O22+O23+O24+O25))</f>
        <v>180</v>
      </c>
      <c r="P26" s="32"/>
      <c r="Q26" s="210" t="s">
        <v>48</v>
      </c>
      <c r="R26" s="443" t="str">
        <f>IF(AND(U28&lt;=200,U28&gt;=166),"Optimal",IF(AND(U28&lt;=165,U28&gt;=113),"Suboptimal",IF(AND(U28&lt;=112,U28&gt;=60),"Marginal",IF(AND(U28&lt;=59,U28&gt;=0),"Poor",""))))</f>
        <v>Optimal</v>
      </c>
      <c r="S26" s="443"/>
      <c r="T26" s="182">
        <f>(IF(G5="Ephemeral",SUM(T17,T19,T21,T23:T25),T16+T17+T18+T19+T20+T21+T22+T23+T24+T25))</f>
        <v>180</v>
      </c>
      <c r="U26" s="24"/>
      <c r="V26" s="32"/>
      <c r="W26" s="210" t="s">
        <v>48</v>
      </c>
      <c r="X26" s="443" t="str">
        <f>IF(AND(AA28&lt;=200,AA28&gt;=166),"Optimal",IF(AND(AA28&lt;=165,AA28&gt;=113),"Suboptimal",IF(AND(AA28&lt;=112,AA28&gt;=60),"Marginal",IF(AND(AA28&lt;=59,AA28&gt;=0),"Poor",""))))</f>
        <v>Optimal</v>
      </c>
      <c r="Y26" s="443"/>
      <c r="Z26" s="182">
        <f>(IF(G5="Ephemeral",SUM(Z17,Z19,Z21,Z23:Z25),Z16+Z17+Z18+Z19+Z20+Z21+Z22+Z23+Z24+Z25))</f>
        <v>180</v>
      </c>
      <c r="AA26" s="24"/>
      <c r="AB26" s="164"/>
      <c r="AC26" s="294"/>
      <c r="AD26" s="296"/>
      <c r="AE26" s="292"/>
      <c r="AF26" s="164"/>
      <c r="AG26" s="164"/>
      <c r="AH26" s="164"/>
      <c r="AI26" s="164"/>
      <c r="AJ26" s="164"/>
      <c r="AK26" s="164"/>
      <c r="AL26" s="164"/>
      <c r="AM26" s="164"/>
      <c r="AN26" s="309"/>
      <c r="AO26" s="309">
        <v>12</v>
      </c>
      <c r="AP26" s="309"/>
      <c r="AQ26" s="309"/>
      <c r="AR26" s="309"/>
      <c r="AS26" s="309"/>
      <c r="AT26" s="309"/>
      <c r="AU26" s="309"/>
      <c r="AV26" s="309"/>
      <c r="AW26" s="309"/>
      <c r="AX26" s="309"/>
      <c r="AY26" s="309"/>
    </row>
    <row r="27" spans="1:51" ht="15" x14ac:dyDescent="0.25">
      <c r="A27" s="476" t="s">
        <v>15</v>
      </c>
      <c r="B27" s="477"/>
      <c r="C27" s="478"/>
      <c r="D27" s="183">
        <f>IF(B5="Ephemeral",D26/120,D26/200)</f>
        <v>0.84</v>
      </c>
      <c r="E27" s="20">
        <f>D27*200</f>
        <v>168</v>
      </c>
      <c r="F27" s="447" t="s">
        <v>15</v>
      </c>
      <c r="G27" s="448"/>
      <c r="H27" s="449"/>
      <c r="I27" s="183">
        <f>IF(G5="Ephemeral",I26/120,I26/200)</f>
        <v>0.9</v>
      </c>
      <c r="J27" s="20">
        <f>I27*200</f>
        <v>180</v>
      </c>
      <c r="K27" s="24"/>
      <c r="L27" s="447" t="s">
        <v>15</v>
      </c>
      <c r="M27" s="448"/>
      <c r="N27" s="449"/>
      <c r="O27" s="183">
        <f>IF(G5="Ephemeral",O26/120,O26/200)</f>
        <v>0.9</v>
      </c>
      <c r="P27" s="34">
        <f>I27*200</f>
        <v>180</v>
      </c>
      <c r="Q27" s="447" t="s">
        <v>15</v>
      </c>
      <c r="R27" s="448"/>
      <c r="S27" s="449"/>
      <c r="T27" s="183">
        <f>IF(G5="Ephemeral",T26/120,T26/200)</f>
        <v>0.9</v>
      </c>
      <c r="U27" s="24"/>
      <c r="V27" s="34">
        <f>O27*200</f>
        <v>180</v>
      </c>
      <c r="W27" s="447" t="s">
        <v>15</v>
      </c>
      <c r="X27" s="448"/>
      <c r="Y27" s="449"/>
      <c r="Z27" s="183">
        <f>IF(G5="Ephemeral",Z26/120,Z26/200)</f>
        <v>0.9</v>
      </c>
      <c r="AA27" s="24"/>
      <c r="AB27" s="164"/>
      <c r="AC27" s="294"/>
      <c r="AD27" s="296"/>
      <c r="AE27" s="292"/>
      <c r="AF27" s="164"/>
      <c r="AG27" s="164"/>
      <c r="AH27" s="164"/>
      <c r="AI27" s="164"/>
      <c r="AJ27" s="164"/>
      <c r="AK27" s="164"/>
      <c r="AL27" s="164"/>
      <c r="AM27" s="164"/>
      <c r="AN27" s="309"/>
      <c r="AO27" s="309">
        <v>13</v>
      </c>
      <c r="AP27" s="309"/>
      <c r="AQ27" s="309"/>
      <c r="AR27" s="309"/>
      <c r="AS27" s="309"/>
      <c r="AT27" s="309"/>
      <c r="AU27" s="309"/>
      <c r="AV27" s="309"/>
      <c r="AW27" s="309"/>
      <c r="AX27" s="309"/>
      <c r="AY27" s="309"/>
    </row>
    <row r="28" spans="1:51" ht="25.5" customHeight="1" x14ac:dyDescent="0.2">
      <c r="A28" s="450" t="s">
        <v>178</v>
      </c>
      <c r="B28" s="451"/>
      <c r="C28" s="451"/>
      <c r="D28" s="452"/>
      <c r="E28" s="208"/>
      <c r="F28" s="450" t="s">
        <v>178</v>
      </c>
      <c r="G28" s="451"/>
      <c r="H28" s="451"/>
      <c r="I28" s="452"/>
      <c r="J28" s="203"/>
      <c r="K28" s="198"/>
      <c r="L28" s="450" t="s">
        <v>178</v>
      </c>
      <c r="M28" s="451"/>
      <c r="N28" s="451"/>
      <c r="O28" s="452"/>
      <c r="P28" s="32"/>
      <c r="Q28" s="450" t="s">
        <v>178</v>
      </c>
      <c r="R28" s="451"/>
      <c r="S28" s="451"/>
      <c r="T28" s="452"/>
      <c r="U28" s="20">
        <f>T27*200</f>
        <v>180</v>
      </c>
      <c r="V28" s="32"/>
      <c r="W28" s="450" t="s">
        <v>178</v>
      </c>
      <c r="X28" s="451"/>
      <c r="Y28" s="451"/>
      <c r="Z28" s="452"/>
      <c r="AA28" s="20">
        <f>Z27*200</f>
        <v>180</v>
      </c>
      <c r="AB28" s="164"/>
      <c r="AC28" s="294"/>
      <c r="AD28" s="296"/>
      <c r="AE28" s="292"/>
      <c r="AF28" s="164"/>
      <c r="AG28" s="164"/>
      <c r="AH28" s="164"/>
      <c r="AI28" s="164"/>
      <c r="AJ28" s="164"/>
      <c r="AK28" s="164"/>
      <c r="AL28" s="164"/>
      <c r="AM28" s="164"/>
      <c r="AN28" s="309"/>
      <c r="AO28" s="309">
        <v>14</v>
      </c>
      <c r="AP28" s="309"/>
      <c r="AQ28" s="309"/>
      <c r="AR28" s="309"/>
      <c r="AS28" s="309"/>
      <c r="AT28" s="309"/>
      <c r="AU28" s="309"/>
      <c r="AV28" s="309"/>
      <c r="AW28" s="309"/>
      <c r="AX28" s="309"/>
      <c r="AY28" s="309"/>
    </row>
    <row r="29" spans="1:51" ht="18.75" customHeight="1" x14ac:dyDescent="0.2">
      <c r="A29" s="483" t="s">
        <v>182</v>
      </c>
      <c r="B29" s="484"/>
      <c r="C29" s="484"/>
      <c r="D29" s="485"/>
      <c r="E29" s="189">
        <f>IF(AND(D31&gt;0,D31&lt;=99),90,IF(OR(D31=0,D31="n/a",AND(D31&gt;=100,D31&lt;=199)),85,IF(AND(D31&gt;=200,D31&lt;=299),80,IF(AND(D31&gt;=300,D31&lt;=399),70,IF(AND(D31&gt;=400,D31&lt;=499),60,IF(AND(D31&gt;=500,D31&lt;=599),50,IF(AND(D31&gt;=600,D31&lt;=749),40,E30)))))))</f>
        <v>80</v>
      </c>
      <c r="F29" s="483" t="s">
        <v>182</v>
      </c>
      <c r="G29" s="484"/>
      <c r="H29" s="484"/>
      <c r="I29" s="485"/>
      <c r="J29" s="189">
        <f>IF(AND(I31&gt;0,I31&lt;=99),90,IF(AND(I31&gt;=100,I31&lt;=199),85,IF(AND(I31&gt;=200,I31&lt;=299),80,IF(AND(I31&gt;=300,I31&lt;=399),70,IF(AND(I31&gt;=400,I31&lt;=499),60,IF(AND(I31&gt;=500,I31&lt;=599),50,IF(AND(I31&gt;=600,I31&lt;=749),40,J30)))))))</f>
        <v>85</v>
      </c>
      <c r="K29" s="198"/>
      <c r="L29" s="483" t="s">
        <v>182</v>
      </c>
      <c r="M29" s="484"/>
      <c r="N29" s="484"/>
      <c r="O29" s="485"/>
      <c r="P29" s="35">
        <f>IF(AND(O31&gt;0,O31&lt;=99),90,IF(AND(O31&gt;=100,O31&lt;=199),85,IF(AND(O31&gt;=200,O31&lt;=299),80,IF(AND(O31&gt;=300,O31&lt;=399),70,IF(AND(O31&gt;=400,O31&lt;=499),60,IF(AND(O31&gt;=500,O31&lt;=599),50,IF(AND(O31&gt;=600,O31&lt;=749),40,P30)))))))</f>
        <v>85</v>
      </c>
      <c r="Q29" s="483" t="s">
        <v>182</v>
      </c>
      <c r="R29" s="484"/>
      <c r="S29" s="484"/>
      <c r="T29" s="485"/>
      <c r="U29" s="21">
        <f>IF(AND(T31&gt;0,T31&lt;=99),90,IF(AND(T31&gt;=100,T31&lt;=199),85,IF(AND(T31&gt;=200,T31&lt;=299),80,IF(AND(T31&gt;=300,T31&lt;=399),70,IF(AND(T31&gt;=400,T31&lt;=499),60,IF(AND(T31&gt;=500,T31&lt;=599),50,IF(AND(T31&gt;=600,T31&lt;=749),40,U30)))))))</f>
        <v>85</v>
      </c>
      <c r="V29" s="35">
        <f>IF(AND(O31&gt;0,O31&lt;=99),90,IF(AND(O31&gt;=100,O31&lt;=199),85,IF(AND(O31&gt;=200,O31&lt;=299),80,IF(AND(O31&gt;=300,O31&lt;=399),70,IF(AND(O31&gt;=400,O31&lt;=499),60,IF(AND(O31&gt;=500,O31&lt;=599),50,IF(AND(O31&gt;=600,O31&lt;=749),40,V30)))))))</f>
        <v>85</v>
      </c>
      <c r="W29" s="483" t="s">
        <v>182</v>
      </c>
      <c r="X29" s="484"/>
      <c r="Y29" s="484"/>
      <c r="Z29" s="485"/>
      <c r="AA29" s="21">
        <f>IF(AND(Z31&gt;0,Z31&lt;=99),90,IF(AND(Z31&gt;=100,Z31&lt;=199),85,IF(AND(Z31&gt;=200,Z31&lt;=299),80,IF(AND(Z31&gt;=300,Z31&lt;=399),70,IF(AND(Z31&gt;=400,Z31&lt;=499),60,IF(AND(Z31&gt;=500,Z31&lt;=599),50,IF(AND(Z31&gt;=600,Z31&lt;=749),40,AA30)))))))</f>
        <v>85</v>
      </c>
      <c r="AB29" s="164"/>
      <c r="AC29" s="294"/>
      <c r="AD29" s="293"/>
      <c r="AE29" s="292"/>
      <c r="AF29" s="164"/>
      <c r="AG29" s="164"/>
      <c r="AH29" s="164"/>
      <c r="AI29" s="164"/>
      <c r="AJ29" s="164"/>
      <c r="AK29" s="164"/>
      <c r="AL29" s="164"/>
      <c r="AM29" s="164"/>
      <c r="AN29" s="309"/>
      <c r="AO29" s="309">
        <v>15</v>
      </c>
      <c r="AP29" s="309"/>
      <c r="AQ29" s="309"/>
      <c r="AR29" s="309"/>
      <c r="AS29" s="309"/>
      <c r="AT29" s="309"/>
      <c r="AU29" s="309"/>
      <c r="AV29" s="309"/>
      <c r="AW29" s="309"/>
      <c r="AX29" s="309"/>
      <c r="AY29" s="309"/>
    </row>
    <row r="30" spans="1:51" x14ac:dyDescent="0.2">
      <c r="A30" s="453" t="s">
        <v>123</v>
      </c>
      <c r="B30" s="454"/>
      <c r="C30" s="444" t="s">
        <v>46</v>
      </c>
      <c r="D30" s="194" t="str">
        <f>IF(AND(D31&gt;=750,D31&lt;=999),"750-999 - 30 points",IF(AND(D31&gt;=1000,D31&lt;=1499),"1000-1499 - 20 points",IF(AND(D31&gt;=1500,D31&lt;=2499),"1500-2499 - 10 points",IF(D31&gt;=2500,"&gt;=2500 - 0 points",""))))</f>
        <v/>
      </c>
      <c r="E30" s="190">
        <f>IF(AND(D31&gt;=750,D31&lt;=999),30,IF(AND(D31&gt;=1000,D31&lt;=1499),20,IF(AND(D31&gt;=1500,D31&lt;=2499),10,0)))</f>
        <v>0</v>
      </c>
      <c r="F30" s="453" t="s">
        <v>123</v>
      </c>
      <c r="G30" s="454"/>
      <c r="H30" s="444" t="s">
        <v>46</v>
      </c>
      <c r="I30" s="215">
        <f>IF(OR(I31="n/a",I31=0),0,J31)</f>
        <v>75</v>
      </c>
      <c r="J30" s="190">
        <f>IF(AND(I31&gt;=750,I31&lt;=999),30,IF(AND(I31&gt;=1000,I31&lt;=1499),20,IF(AND(I31&gt;=1500,I31&lt;=2499),10,0)))</f>
        <v>0</v>
      </c>
      <c r="K30" s="192"/>
      <c r="L30" s="453" t="s">
        <v>123</v>
      </c>
      <c r="M30" s="454"/>
      <c r="N30" s="444" t="s">
        <v>46</v>
      </c>
      <c r="O30" s="46">
        <f>IF(OR(O31="n/a",O31=0),0,V30)</f>
        <v>0</v>
      </c>
      <c r="P30" s="36">
        <f>IF(AND(O31&gt;=750,O31&lt;=999),30,IF(AND(O31&gt;=1000,O31&lt;=1499),20,IF(AND(O31&gt;=1500,O31&lt;=2499),10,0)))</f>
        <v>0</v>
      </c>
      <c r="Q30" s="453" t="s">
        <v>123</v>
      </c>
      <c r="R30" s="454"/>
      <c r="S30" s="444" t="s">
        <v>46</v>
      </c>
      <c r="T30" s="46">
        <f>IF(OR(T31="n/a",T31=0),0,U32)</f>
        <v>75</v>
      </c>
      <c r="U30" s="22">
        <f>IF(AND(T31&gt;=750,T31&lt;=999),30,IF(AND(T31&gt;=1000,T31&lt;=1499),20,IF(AND(T31&gt;=1500,T31&lt;=2499),10,0)))</f>
        <v>0</v>
      </c>
      <c r="V30" s="36">
        <f>IF(AND(O31&gt;=750,O31&lt;=999),30,IF(AND(O31&gt;=1000,O31&lt;=1499),20,IF(AND(O31&gt;=1500,O31&lt;=2499),10,0)))</f>
        <v>0</v>
      </c>
      <c r="W30" s="453" t="s">
        <v>123</v>
      </c>
      <c r="X30" s="454"/>
      <c r="Y30" s="444" t="s">
        <v>46</v>
      </c>
      <c r="Z30" s="46">
        <f>IF(OR(Z31="n/a",Z31=0),0,AA32)</f>
        <v>75</v>
      </c>
      <c r="AA30" s="22">
        <f>IF(AND(Z31&gt;=750,Z31&lt;=999),30,IF(AND(Z31&gt;=1000,Z31&lt;=1499),20,IF(AND(Z31&gt;=1500,Z31&lt;=2499),10,0)))</f>
        <v>0</v>
      </c>
      <c r="AB30" s="280"/>
      <c r="AC30" s="294"/>
      <c r="AD30" s="294"/>
      <c r="AE30" s="292"/>
      <c r="AF30" s="164"/>
      <c r="AG30" s="164"/>
      <c r="AH30" s="164"/>
      <c r="AI30" s="164"/>
      <c r="AJ30" s="164"/>
      <c r="AK30" s="164"/>
      <c r="AL30" s="164"/>
      <c r="AM30" s="164"/>
      <c r="AN30" s="309"/>
      <c r="AO30" s="309">
        <v>16</v>
      </c>
      <c r="AP30" s="309"/>
      <c r="AQ30" s="309"/>
      <c r="AR30" s="309"/>
      <c r="AS30" s="309"/>
      <c r="AT30" s="309"/>
      <c r="AU30" s="309"/>
      <c r="AV30" s="309"/>
      <c r="AW30" s="309"/>
      <c r="AX30" s="309"/>
      <c r="AY30" s="309"/>
    </row>
    <row r="31" spans="1:51" ht="12.75" customHeight="1" x14ac:dyDescent="0.2">
      <c r="A31" s="474" t="str">
        <f>IF(AND(D31&gt;0,D31&lt;=99),"&lt;=99 - 90 points",IF(OR(D31=0, D31="n/a",AND(D31&gt;=100,D31&lt;=199)),"100-199 - 85 points",IF(AND(D31&gt;=200,D31&lt;=299),"200-299 - 80 points",IF(AND(D31&gt;=300,D31&lt;=399),"300-399 - 70 points",IF(AND(D31&gt;=400,D31&lt;=499),"400-499 - 60 points",IF(AND(D31&gt;=500,D31&lt;=599),"500-599 - 50 points",IF(AND(D31&gt;=600,D31&lt;=749),"600-749 - 40 points",D30)))))))</f>
        <v>200-299 - 80 points</v>
      </c>
      <c r="B31" s="441" t="s">
        <v>127</v>
      </c>
      <c r="C31" s="445"/>
      <c r="D31" s="486">
        <v>225</v>
      </c>
      <c r="E31" s="191" t="str">
        <f>IF(AND(I31&gt;0,I31&lt;=99),"&lt;=99 - 90 points",IF(AND(I31&gt;=100,I31&lt;=199),"100-199 - 85 points",IF(AND(I31&gt;=200,I31&lt;=299),"200-299 - 80 points",IF(AND(I31&gt;=300,I31&lt;=399),"300-399 - 70 points",IF(AND(I31&gt;=400,I31&lt;=499),"400-499 - 60 points",IF(AND(I31&gt;=500,I31&lt;=599),"500-599 - 50 points",IF(AND(I31&gt;=600,I31&lt;=749),"600-749 - 40 points",E32)))))))</f>
        <v>100-199 - 85 points</v>
      </c>
      <c r="F31" s="474" t="str">
        <f>IF(OR(I31="n/a",I31=0),E32,E31)</f>
        <v>100-199 - 85 points</v>
      </c>
      <c r="G31" s="441" t="s">
        <v>127</v>
      </c>
      <c r="H31" s="445"/>
      <c r="I31" s="455">
        <v>125</v>
      </c>
      <c r="J31" s="198">
        <f>IF(AND(I31&lt;100,I31&gt;0),80,IF(OR(AND(I31&lt;200,I31&gt;99)),75,IF(AND(I31&lt;350,I31&gt;199),70,IF(AND(I31&lt;500,I31&gt;349),60,IF(AND(I31&lt;750,I31&gt;499),30,IF(AND(I31&lt;1000,I31&gt;749),15,IF(AND(I31&lt;1500,I31&gt;999),10,IF(I31&gt;=1500,5,0))))))))</f>
        <v>75</v>
      </c>
      <c r="K31" s="191" t="str">
        <f>IF(AND(O31&gt;0,O31&lt;=99),"&lt;=99 - 90 points",IF(AND(O31&gt;=100,O31&lt;=199),"100-199 - 85 points",IF(AND(O31&gt;=200,O31&lt;=299),"200-299 - 80 points",IF(AND(O31&gt;=300,O31&lt;=399),"300-399 - 70 points",IF(AND(O31&gt;=400,O31&lt;=499),"400-499 - 60 points",IF(AND(O31&gt;=500,O31&lt;=599),"500-599 - 50 points",IF(AND(O31&gt;=600,O31&lt;=749),"600-749 - 40 points",K32)))))))</f>
        <v>100-199 - 85 points</v>
      </c>
      <c r="L31" s="474" t="str">
        <f>IF(OR(O31="n/a",O31=0),K32,K31)</f>
        <v>100-199 - 85 points</v>
      </c>
      <c r="M31" s="441" t="s">
        <v>127</v>
      </c>
      <c r="N31" s="445"/>
      <c r="O31" s="455">
        <v>125</v>
      </c>
      <c r="P31" s="34" t="str">
        <f>IF(AND(T31&gt;0,T31&lt;=99),"&lt;=99 - 90 points",IF(AND(T31&gt;=100,T31&lt;=199),"100-199 - 85 points",IF(AND(T31&gt;=200,T31&lt;=299),"200-299 - 80 points",IF(AND(T31&gt;=300,T31&lt;=399),"300-399 - 70 points",IF(AND(T31&gt;=400,T31&lt;=499),"400-499 - 60 points",IF(AND(T31&gt;=500,T31&lt;=599),"500-599 - 50 points",IF(AND(T31&gt;=600,T31&lt;=749),"600-749 - 40 points",P32)))))))</f>
        <v>100-199 - 85 points</v>
      </c>
      <c r="Q31" s="474" t="str">
        <f>IF(OR(T31="n/a",T31=0),P32,P31)</f>
        <v>100-199 - 85 points</v>
      </c>
      <c r="R31" s="441" t="s">
        <v>127</v>
      </c>
      <c r="S31" s="445"/>
      <c r="T31" s="455">
        <v>125</v>
      </c>
      <c r="U31" s="270"/>
      <c r="V31" s="271" t="str">
        <f>IF(AND(Z31&gt;0,Z31&lt;=99),"&lt;=99 - 90 points",IF(AND(Z31&gt;=100,Z31&lt;=199),"100-199 - 85 points",IF(AND(Z31&gt;=200,Z31&lt;=299),"200-299 - 80 points",IF(AND(Z31&gt;=300,Z31&lt;=399),"300-399 - 70 points",IF(AND(Z31&gt;=400,Z31&lt;=499),"400-499 - 60 points",IF(AND(Z31&gt;=500,Z31&lt;=599),"500-599 - 50 points",IF(AND(Z31&gt;=600,Z31&lt;=749),"600-749 - 40 points",V32)))))))</f>
        <v>100-199 - 85 points</v>
      </c>
      <c r="W31" s="466" t="str">
        <f>IF(OR(Z31="n/a",Z31=0),V32,V31)</f>
        <v>100-199 - 85 points</v>
      </c>
      <c r="X31" s="441" t="s">
        <v>127</v>
      </c>
      <c r="Y31" s="445"/>
      <c r="Z31" s="455">
        <v>125</v>
      </c>
      <c r="AA31" s="270"/>
      <c r="AB31" s="297"/>
      <c r="AC31" s="294"/>
      <c r="AD31" s="292"/>
      <c r="AE31" s="295"/>
      <c r="AF31" s="164"/>
      <c r="AG31" s="164"/>
      <c r="AH31" s="164"/>
      <c r="AI31" s="164"/>
      <c r="AJ31" s="164"/>
      <c r="AK31" s="164"/>
      <c r="AL31" s="164"/>
      <c r="AM31" s="164"/>
      <c r="AN31" s="309"/>
      <c r="AO31" s="309">
        <v>17</v>
      </c>
      <c r="AP31" s="309"/>
      <c r="AQ31" s="309"/>
      <c r="AR31" s="309"/>
      <c r="AS31" s="309"/>
      <c r="AT31" s="309"/>
      <c r="AU31" s="309"/>
      <c r="AV31" s="309"/>
      <c r="AW31" s="309"/>
      <c r="AX31" s="309"/>
      <c r="AY31" s="309"/>
    </row>
    <row r="32" spans="1:51" ht="12.75" customHeight="1" x14ac:dyDescent="0.2">
      <c r="A32" s="475"/>
      <c r="B32" s="442"/>
      <c r="C32" s="445"/>
      <c r="D32" s="487"/>
      <c r="E32" s="191" t="b">
        <f>IF(OR(I31="n/a",I31=0),"",IF(AND(I31&gt;=750,I31&lt;=999),"750-999 - 30 points",IF(AND(I31&gt;=1000,I31&lt;=1499),"1000-1499 - 20 points",IF(AND(I31&gt;=1500,I31&lt;=2499),"1500-2499 - 10 points",IF(I31&gt;=2500,"&gt;=2500 - 0 points")))))</f>
        <v>0</v>
      </c>
      <c r="F32" s="475"/>
      <c r="G32" s="442"/>
      <c r="H32" s="445"/>
      <c r="I32" s="456"/>
      <c r="J32" s="204"/>
      <c r="K32" s="191" t="b">
        <f>IF(OR(O31="n/a",O31=0),"",IF(AND(O31&gt;=750,O31&lt;=999),"750-999 - 30 points",IF(AND(O31&gt;=1000,O31&lt;=1499),"1000-1499 - 20 points",IF(AND(O31&gt;=1500,O31&lt;=2499),"1500-2499 - 10 points",IF(O31&gt;=2500,"&gt;=2500 - 0 points")))))</f>
        <v>0</v>
      </c>
      <c r="L32" s="475"/>
      <c r="M32" s="442"/>
      <c r="N32" s="445"/>
      <c r="O32" s="456"/>
      <c r="P32" s="34" t="str">
        <f>IF(OR(T31="n/a",T31=0),"",IF(AND(T31&gt;=750,T31&lt;=999),"750-999 - 30 points",IF(AND(T31&gt;=1000,T31&lt;=1499),"1000-1499 - 20 points",IF(AND(T31&gt;=1500,T31&lt;=2499),"1500-2499 - 10 points",IF(T31&gt;=2500,"&gt;=2500 - 0 points","")))))</f>
        <v/>
      </c>
      <c r="Q32" s="475"/>
      <c r="R32" s="442"/>
      <c r="S32" s="445"/>
      <c r="T32" s="456"/>
      <c r="U32" s="272">
        <f>IF(AND(T31&lt;100,T31&gt;0),80,IF(OR(AND(T31&lt;200,T31&gt;99)),75,IF(AND(T31&lt;350,T31&gt;199),70,IF(AND(T31&lt;500,T31&gt;349),60,IF(AND(T31&lt;750,T31&gt;499),30,IF(AND(T31&lt;1000,T31&gt;749),15,IF(AND(T31&lt;1500,T31&gt;999),10,IF(T31&gt;=1500,5,0))))))))</f>
        <v>75</v>
      </c>
      <c r="V32" s="271" t="str">
        <f>IF(OR(Z31="n/a",Z31=0),"",IF(AND(Z31&gt;=750,Z31&lt;=999),"750-999 - 30 points",IF(AND(Z31&gt;=1000,Z31&lt;=1499),"1000-1499 - 20 points",IF(AND(Z31&gt;=1500,Z31&lt;=2499),"1500-2499 - 10 points",IF(Z31&gt;=2500,"&gt;=2500 - 0 points","")))))</f>
        <v/>
      </c>
      <c r="W32" s="467"/>
      <c r="X32" s="442"/>
      <c r="Y32" s="445"/>
      <c r="Z32" s="456"/>
      <c r="AA32" s="272">
        <f>IF(AND(Z31&lt;100,Z31&gt;0),80,IF(OR(AND(Z31&lt;200,Z31&gt;99)),75,IF(AND(Z31&lt;350,Z31&gt;199),70,IF(AND(Z31&lt;500,Z31&gt;349),60,IF(AND(Z31&lt;750,Z31&gt;499),30,IF(AND(Z31&lt;1000,Z31&gt;749),15,IF(AND(Z31&lt;1500,Z31&gt;999),10,IF(Z31&gt;=1500,5,0))))))))</f>
        <v>75</v>
      </c>
      <c r="AB32" s="298"/>
      <c r="AC32" s="292"/>
      <c r="AD32" s="292"/>
      <c r="AE32" s="292"/>
      <c r="AF32" s="164"/>
      <c r="AG32" s="164"/>
      <c r="AH32" s="164"/>
      <c r="AI32" s="164"/>
      <c r="AJ32" s="164"/>
      <c r="AK32" s="164"/>
      <c r="AL32" s="164"/>
      <c r="AM32" s="164"/>
      <c r="AN32" s="309"/>
      <c r="AO32" s="309">
        <v>18</v>
      </c>
      <c r="AP32" s="309"/>
      <c r="AQ32" s="309"/>
      <c r="AR32" s="309"/>
      <c r="AS32" s="309"/>
      <c r="AT32" s="309"/>
      <c r="AU32" s="309"/>
      <c r="AV32" s="309"/>
      <c r="AW32" s="309"/>
      <c r="AX32" s="309"/>
      <c r="AY32" s="309"/>
    </row>
    <row r="33" spans="1:51" x14ac:dyDescent="0.2">
      <c r="A33" s="211" t="s">
        <v>0</v>
      </c>
      <c r="B33" s="43"/>
      <c r="C33" s="445"/>
      <c r="D33" s="215">
        <f>IF(AND(D34&lt;3.6,D34&gt;0),0,IF(AND(D34&lt;4.6,D34&gt;3.5),5,IF(AND(D34&gt;4.5,D34&lt;5.6),10,IF(OR(D34="n/a",D34=0,D34="N/A",AND(D34&lt;6,D34&gt;5.5)),45,IF(AND(D34&lt;8.1,D34&gt;5.9),80,IF(AND(D34&lt;9.1,D34&gt;8),45,IF(AND(D34&gt;9,D34&lt;11),10,0)))))))</f>
        <v>45</v>
      </c>
      <c r="E33" s="191"/>
      <c r="F33" s="211" t="s">
        <v>0</v>
      </c>
      <c r="G33" s="43"/>
      <c r="H33" s="445"/>
      <c r="I33" s="215">
        <f>IF(AND(I34&lt;3.6,I34&gt;0),0,IF(AND(I34&lt;4.6,I34&gt;3.5),5,IF(AND(I34&gt;4.5,I34&lt;5.6),10,IF(AND(I34&lt;6,I34&gt;5.5),45,IF(AND(I34&lt;8.1,I34&gt;5.9),80,IF(AND(I34&lt;9.1,I34&gt;8),45,IF(AND(I34&gt;9,I34&lt;11),10,0)))))))</f>
        <v>80</v>
      </c>
      <c r="J33" s="190"/>
      <c r="K33" s="191"/>
      <c r="L33" s="211" t="s">
        <v>0</v>
      </c>
      <c r="M33" s="43"/>
      <c r="N33" s="445"/>
      <c r="O33" s="46">
        <f>IF(AND(O34&lt;3.6,O34&gt;0),0,IF(AND(O34&lt;4.6,O34&gt;3.5),5,IF(AND(O34&gt;4.5,O34&lt;5.6),10,IF(AND(O34&lt;6,O34&gt;5.5),45,IF(AND(O34&lt;8.1,O34&gt;5.9),80,IF(AND(O34&lt;9.1,O34&gt;8),45,IF(AND(O34&gt;9,O34&lt;11),10,0)))))))</f>
        <v>80</v>
      </c>
      <c r="P33" s="36"/>
      <c r="Q33" s="211" t="s">
        <v>0</v>
      </c>
      <c r="R33" s="43"/>
      <c r="S33" s="445"/>
      <c r="T33" s="46">
        <f>IF(AND(T34&lt;3.6,T34&gt;0),0,IF(AND(T34&lt;4.6,T34&gt;3.5),5,IF(AND(T34&gt;4.5,T34&lt;5.6),10,IF(AND(T34&lt;6,T34&gt;5.5),45,IF(AND(T34&lt;8.1,T34&gt;5.9),80,IF(AND(T34&lt;9.1,T34&gt;8),45,IF(AND(T34&gt;9,T34&lt;11),10,0)))))))</f>
        <v>80</v>
      </c>
      <c r="U33" s="10"/>
      <c r="V33" s="36"/>
      <c r="W33" s="211" t="s">
        <v>0</v>
      </c>
      <c r="X33" s="43"/>
      <c r="Y33" s="445"/>
      <c r="Z33" s="46">
        <f>IF(AND(Z34&lt;3.6,Z34&gt;0),0,IF(AND(Z34&lt;4.6,Z34&gt;3.5),5,IF(AND(Z34&gt;4.5,Z34&lt;5.6),10,IF(AND(Z34&lt;6,Z34&gt;5.5),45,IF(AND(Z34&lt;8.1,Z34&gt;5.9),80,IF(AND(Z34&lt;9.1,Z34&gt;8),45,IF(AND(Z34&gt;9,Z34&lt;11),10,0)))))))</f>
        <v>80</v>
      </c>
      <c r="AA33" s="10"/>
      <c r="AB33" s="280"/>
      <c r="AC33" s="296"/>
      <c r="AD33" s="292"/>
      <c r="AE33" s="292"/>
      <c r="AF33" s="164"/>
      <c r="AG33" s="164"/>
      <c r="AH33" s="164"/>
      <c r="AI33" s="164"/>
      <c r="AJ33" s="164"/>
      <c r="AK33" s="164"/>
      <c r="AL33" s="164"/>
      <c r="AM33" s="164"/>
      <c r="AN33" s="309"/>
      <c r="AO33" s="309">
        <v>19</v>
      </c>
      <c r="AP33" s="309"/>
      <c r="AQ33" s="309"/>
      <c r="AR33" s="309"/>
      <c r="AS33" s="309"/>
      <c r="AT33" s="309"/>
      <c r="AU33" s="309"/>
      <c r="AV33" s="309"/>
      <c r="AW33" s="309"/>
      <c r="AX33" s="309"/>
      <c r="AY33" s="309"/>
    </row>
    <row r="34" spans="1:51" ht="12.75" customHeight="1" x14ac:dyDescent="0.2">
      <c r="A34" s="474" t="str">
        <f>IF(AND(D34&lt;3.6,D34&gt;0),"&lt;3.5 = 0 points",IF(AND(D34&lt;4.6,D34&gt;3.5),"3.6-4.5 = 5 points",IF(AND(D34&lt;5.6,D34&gt;4.5),"4.6-5.5 = 10 points",IF(OR(D34="n/a",D34=0,D34="N/A",AND(D34&lt;6,D34&gt;5.5)),"5.6-5.9 = 45 points",IF(AND(D34&lt;8.1,D34&gt;5.9),"6.0-8.0 = 80 points",IF(AND(D34&lt;9.1,D34&gt;8),"8.1-9.0 = 45 points",IF(AND(D34&gt;9,D34&lt;11),"&gt;9.1 = 10 points",IF(D34&gt;=11,"&gt;=11 = 0 points",0))))))))</f>
        <v>5.6-5.9 = 45 points</v>
      </c>
      <c r="B34" s="441" t="s">
        <v>128</v>
      </c>
      <c r="C34" s="445"/>
      <c r="D34" s="486">
        <v>5.8</v>
      </c>
      <c r="E34" s="191" t="str">
        <f>IF(AND(I34&lt;3.6,I34&gt;0),"&lt;3.5 = 0 points",IF(AND(I34&lt;4.6,I34&gt;3.5),"3.6-4.5 = 5 points",IF(AND(I34&lt;5.6,I34&gt;4.5),"4.6-5.5 = 10 points",IF(OR(I34="n/a",I34=0,I34="N/A",AND(I34&lt;6,I34&gt;5.5)),"5.6-5.9 = 45 points",IF(AND(I34&lt;8.1,I34&gt;5.9),"6.0-8.0 = 80 points",IF(AND(I34&lt;9.1,I34&gt;8),"8.1-9.0 = 45 points",IF(AND(I34&gt;9,I34&lt;11),"&gt;9.1 = 10 points",IF(I34&gt;=11,"&gt;=11 = 0 points",0))))))))</f>
        <v>6.0-8.0 = 80 points</v>
      </c>
      <c r="F34" s="474" t="str">
        <f>IF(OR(I34=0,I34="n/a"),E35,E34)</f>
        <v>6.0-8.0 = 80 points</v>
      </c>
      <c r="G34" s="441" t="s">
        <v>13</v>
      </c>
      <c r="H34" s="445"/>
      <c r="I34" s="371">
        <v>6.3</v>
      </c>
      <c r="J34" s="204"/>
      <c r="K34" s="191" t="str">
        <f>IF(AND(O34&lt;3.6,O34&gt;0),"&lt;3.5 = 0 points",IF(AND(O34&lt;4.6,O34&gt;3.5),"3.6-4.5 = 5 points",IF(AND(O34&lt;5.6,O34&gt;4.5),"4.6-5.5 = 10 points",IF(OR(O34="n/a",O34=0,O34="N/A",AND(O34&lt;6,O34&gt;5.5)),"5.6-5.9 = 45 points",IF(AND(O34&lt;8.1,O34&gt;5.9),"6.0-8.0 = 80 points",IF(AND(O34&lt;9.1,O34&gt;8),"8.1-9.0 = 45 points",IF(AND(O34&gt;9,O34&lt;11),"&gt;9.1 = 10 points",IF(O34&gt;=11,"&gt;=11 = 0 points",0))))))))</f>
        <v>6.0-8.0 = 80 points</v>
      </c>
      <c r="L34" s="474" t="str">
        <f>IF(OR(O34=0,O34="n/a"),K35,K34)</f>
        <v>6.0-8.0 = 80 points</v>
      </c>
      <c r="M34" s="441" t="s">
        <v>13</v>
      </c>
      <c r="N34" s="445"/>
      <c r="O34" s="371">
        <v>6.3</v>
      </c>
      <c r="P34" s="34" t="str">
        <f>IF(AND(T34&lt;3.6,T34&gt;0),"&lt;3.5 = 0 points",IF(AND(T34&lt;4.6,T34&gt;3.5),"3.6-4.5 = 5 points",IF(AND(T34&lt;5.6,T34&gt;4.5),"4.6-5.5 = 10 points",IF(OR(T34="n/a",T34=0,T34="N/A",AND(T34&lt;6,T34&gt;5.5)),"5.6-5.9 = 45 points",IF(AND(T34&lt;8.1,T34&gt;5.9),"6.0-8.0 = 80 points",IF(AND(T34&lt;9.1,T34&gt;8),"8.1-9.0 = 45 points",IF(AND(T34&gt;9,T34&lt;11),"&gt;9.1 = 10 points",IF(T34&gt;=11,"&gt;=11 = 0 points",0))))))))</f>
        <v>6.0-8.0 = 80 points</v>
      </c>
      <c r="Q34" s="474" t="str">
        <f>IF(OR(T34=0,T34="n/a"),P35,P34)</f>
        <v>6.0-8.0 = 80 points</v>
      </c>
      <c r="R34" s="441" t="s">
        <v>13</v>
      </c>
      <c r="S34" s="445"/>
      <c r="T34" s="371">
        <v>6.3</v>
      </c>
      <c r="U34" s="270"/>
      <c r="V34" s="271" t="str">
        <f>IF(AND(Z34&lt;3.6,Z34&gt;0),"&lt;3.5 = 0 points",IF(AND(Z34&lt;4.6,Z34&gt;3.5),"3.6-4.5 = 5 points",IF(AND(Z34&lt;5.6,Z34&gt;4.5),"4.6-5.5 = 10 points",IF(OR(Z34="n/a",Z34=0,Z34="N/A",AND(Z34&lt;6,Z34&gt;5.5)),"5.6-5.9 = 45 points",IF(AND(Z34&lt;8.1,Z34&gt;5.9),"6.0-8.0 = 80 points",IF(AND(Z34&lt;9.1,Z34&gt;8),"8.1-9.0 = 45 points",IF(AND(Z34&gt;9,Z34&lt;11),"&gt;9.1 = 10 points",IF(Z34&gt;=11,"&gt;=11 = 0 points",0))))))))</f>
        <v>6.0-8.0 = 80 points</v>
      </c>
      <c r="W34" s="466" t="str">
        <f>IF(OR(Z34=0,Z34="n/a"),V35,V34)</f>
        <v>6.0-8.0 = 80 points</v>
      </c>
      <c r="X34" s="441" t="s">
        <v>13</v>
      </c>
      <c r="Y34" s="445"/>
      <c r="Z34" s="371">
        <v>6.3</v>
      </c>
      <c r="AA34" s="270"/>
      <c r="AB34" s="297"/>
      <c r="AC34" s="296"/>
      <c r="AD34" s="292"/>
      <c r="AE34" s="292"/>
      <c r="AF34" s="164"/>
      <c r="AG34" s="164"/>
      <c r="AH34" s="164"/>
      <c r="AI34" s="164"/>
      <c r="AJ34" s="164"/>
      <c r="AK34" s="164"/>
      <c r="AL34" s="164"/>
      <c r="AM34" s="164"/>
      <c r="AN34" s="309"/>
      <c r="AO34" s="309">
        <v>20</v>
      </c>
      <c r="AP34" s="309"/>
      <c r="AQ34" s="309"/>
      <c r="AR34" s="309"/>
      <c r="AS34" s="309"/>
      <c r="AT34" s="309"/>
      <c r="AU34" s="309"/>
      <c r="AV34" s="309"/>
      <c r="AW34" s="309"/>
      <c r="AX34" s="309"/>
      <c r="AY34" s="309"/>
    </row>
    <row r="35" spans="1:51" ht="12.75" customHeight="1" x14ac:dyDescent="0.2">
      <c r="A35" s="475"/>
      <c r="B35" s="442"/>
      <c r="C35" s="445"/>
      <c r="D35" s="487"/>
      <c r="E35" s="192" t="b">
        <f>IF(OR(I34=0,I34="n/a"),"")</f>
        <v>0</v>
      </c>
      <c r="F35" s="475"/>
      <c r="G35" s="442"/>
      <c r="H35" s="445"/>
      <c r="I35" s="376"/>
      <c r="J35" s="204"/>
      <c r="K35" s="192" t="b">
        <f>IF(OR(O34=0,O34="n/a"),"")</f>
        <v>0</v>
      </c>
      <c r="L35" s="475"/>
      <c r="M35" s="442"/>
      <c r="N35" s="445"/>
      <c r="O35" s="376"/>
      <c r="P35" s="37" t="b">
        <f>IF(OR(T34=0,T34="n/a"),"")</f>
        <v>0</v>
      </c>
      <c r="Q35" s="475"/>
      <c r="R35" s="442"/>
      <c r="S35" s="445"/>
      <c r="T35" s="376"/>
      <c r="U35" s="273"/>
      <c r="V35" s="274" t="b">
        <f>IF(OR(Z34=0,Z34="n/a"),"")</f>
        <v>0</v>
      </c>
      <c r="W35" s="467"/>
      <c r="X35" s="442"/>
      <c r="Y35" s="445"/>
      <c r="Z35" s="376"/>
      <c r="AA35" s="273"/>
      <c r="AB35" s="297"/>
      <c r="AC35" s="296"/>
      <c r="AD35" s="292"/>
      <c r="AE35" s="292"/>
      <c r="AF35" s="164"/>
      <c r="AG35" s="164"/>
      <c r="AH35" s="164"/>
      <c r="AI35" s="164"/>
      <c r="AJ35" s="164"/>
      <c r="AK35" s="164"/>
      <c r="AL35" s="164"/>
      <c r="AM35" s="164"/>
      <c r="AN35" s="309"/>
      <c r="AO35" s="309"/>
      <c r="AP35" s="309"/>
      <c r="AQ35" s="309"/>
      <c r="AR35" s="309"/>
      <c r="AS35" s="309"/>
      <c r="AT35" s="309"/>
      <c r="AU35" s="309"/>
      <c r="AV35" s="309"/>
      <c r="AW35" s="309"/>
      <c r="AX35" s="309"/>
      <c r="AY35" s="309"/>
    </row>
    <row r="36" spans="1:51" ht="12.75" customHeight="1" x14ac:dyDescent="0.2">
      <c r="A36" s="212" t="s">
        <v>1</v>
      </c>
      <c r="B36" s="43"/>
      <c r="C36" s="445"/>
      <c r="D36" s="215">
        <f>IF(OR(D37="n/a",D37=0,D37="N/A",D37&gt;=5),30,IF(AND(D37&gt;0,D37&lt;5),10,0))</f>
        <v>30</v>
      </c>
      <c r="E36" s="191"/>
      <c r="F36" s="212" t="s">
        <v>1</v>
      </c>
      <c r="G36" s="43"/>
      <c r="H36" s="445"/>
      <c r="I36" s="215">
        <f>IF(OR(I37="0",I37="n/a"),0,IF(OR(I37&gt;=5),30,IF(AND(I37&gt;0,I37&lt;5),10,0)))</f>
        <v>30</v>
      </c>
      <c r="J36" s="190"/>
      <c r="K36" s="191"/>
      <c r="L36" s="212" t="s">
        <v>1</v>
      </c>
      <c r="M36" s="43"/>
      <c r="N36" s="445"/>
      <c r="O36" s="46">
        <f>IF(OR(O37="0",O37="n/a"),0,IF(OR(O37&gt;=5),30,IF(AND(O37&gt;0,O37&lt;5),10,0)))</f>
        <v>30</v>
      </c>
      <c r="P36" s="36"/>
      <c r="Q36" s="212" t="s">
        <v>1</v>
      </c>
      <c r="R36" s="43"/>
      <c r="S36" s="445"/>
      <c r="T36" s="46">
        <f>IF(OR(T37="0",T37="n/a"),0,IF(OR(T37&gt;=5),30,IF(AND(T37&gt;0,T37&lt;5),10,0)))</f>
        <v>30</v>
      </c>
      <c r="U36" s="10"/>
      <c r="V36" s="36"/>
      <c r="W36" s="212" t="s">
        <v>1</v>
      </c>
      <c r="X36" s="43"/>
      <c r="Y36" s="445"/>
      <c r="Z36" s="46">
        <f>IF(OR(Z37="0",Z37="n/a"),0,IF(OR(Z37&gt;=5),30,IF(AND(Z37&gt;0,Z37&lt;5),10,0)))</f>
        <v>30</v>
      </c>
      <c r="AA36" s="10"/>
      <c r="AB36" s="280"/>
      <c r="AC36" s="295"/>
      <c r="AD36" s="292"/>
      <c r="AE36" s="292"/>
      <c r="AF36" s="164"/>
      <c r="AG36" s="164"/>
      <c r="AH36" s="164"/>
      <c r="AI36" s="164"/>
      <c r="AJ36" s="164"/>
      <c r="AK36" s="164"/>
      <c r="AL36" s="164"/>
      <c r="AM36" s="164"/>
      <c r="AN36" s="307"/>
      <c r="AO36" s="307"/>
      <c r="AP36" s="307"/>
      <c r="AQ36" s="307"/>
      <c r="AR36" s="307"/>
      <c r="AS36" s="307"/>
      <c r="AT36" s="307"/>
      <c r="AU36" s="307"/>
      <c r="AV36" s="307"/>
      <c r="AW36" s="307"/>
      <c r="AX36" s="307"/>
      <c r="AY36" s="106"/>
    </row>
    <row r="37" spans="1:51" ht="12.75" customHeight="1" x14ac:dyDescent="0.2">
      <c r="A37" s="474" t="str">
        <f>IF(OR(D37="n/a", D37=0,D37="N/A"),"",IF(AND(D37&gt;=5),"&gt;5.0 = 30 points",IF(AND(D37&gt;0,D37&lt;5),"&lt;5.0 = 10 points",0)))</f>
        <v>&gt;5.0 = 30 points</v>
      </c>
      <c r="B37" s="444" t="s">
        <v>6</v>
      </c>
      <c r="C37" s="445"/>
      <c r="D37" s="486">
        <v>5</v>
      </c>
      <c r="E37" s="191"/>
      <c r="F37" s="474" t="str">
        <f>IF(OR(I37="n/a", I37=0,I37="N/A"),"",IF(AND(I37&gt;=5),"&gt;5.0 = 30 points",IF(AND(I37&gt;0,I37&lt;5),"&lt;5.0 = 10 points",0)))</f>
        <v>&gt;5.0 = 30 points</v>
      </c>
      <c r="G37" s="444" t="s">
        <v>6</v>
      </c>
      <c r="H37" s="445"/>
      <c r="I37" s="371">
        <v>8</v>
      </c>
      <c r="J37" s="204"/>
      <c r="K37" s="191"/>
      <c r="L37" s="474" t="str">
        <f>IF(OR(O37="n/a", O37=0,O37="N/A"),"",IF(AND(O37&gt;=5),"&gt;5.0 = 30 points",IF(AND(O37&gt;0,O37&lt;5),"&lt;5.0 = 10 points",0)))</f>
        <v>&gt;5.0 = 30 points</v>
      </c>
      <c r="M37" s="444" t="s">
        <v>6</v>
      </c>
      <c r="N37" s="445"/>
      <c r="O37" s="371">
        <v>8</v>
      </c>
      <c r="P37" s="38"/>
      <c r="Q37" s="474" t="str">
        <f>IF(OR(T37="n/a", T37=0,T37="N/A"),"",IF(AND(T37&gt;=5),"&gt;5.0 = 30 points",IF(AND(T37&gt;0,T37&lt;5),"&lt;5.0 = 10 points",0)))</f>
        <v>&gt;5.0 = 30 points</v>
      </c>
      <c r="R37" s="444" t="s">
        <v>6</v>
      </c>
      <c r="S37" s="445"/>
      <c r="T37" s="371">
        <v>8</v>
      </c>
      <c r="U37" s="270"/>
      <c r="V37" s="275"/>
      <c r="W37" s="466" t="str">
        <f>IF(OR(Z37="n/a", Z37=0,Z37="N/A"),"",IF(AND(Z37&gt;=5),"&gt;5.0 = 30 points",IF(AND(Z37&gt;0,Z37&lt;5),"&lt;5.0 = 10 points",0)))</f>
        <v>&gt;5.0 = 30 points</v>
      </c>
      <c r="X37" s="444" t="s">
        <v>6</v>
      </c>
      <c r="Y37" s="445"/>
      <c r="Z37" s="371">
        <v>8</v>
      </c>
      <c r="AA37" s="270"/>
      <c r="AB37" s="297"/>
      <c r="AC37" s="296"/>
      <c r="AD37" s="292"/>
      <c r="AE37" s="292"/>
      <c r="AF37" s="164"/>
      <c r="AG37" s="164"/>
      <c r="AH37" s="164"/>
      <c r="AI37" s="164"/>
      <c r="AJ37" s="164"/>
      <c r="AK37" s="164"/>
      <c r="AL37" s="164"/>
      <c r="AM37" s="164"/>
      <c r="AN37" s="307"/>
      <c r="AO37" s="307"/>
      <c r="AP37" s="307"/>
      <c r="AQ37" s="307"/>
      <c r="AR37" s="307"/>
      <c r="AS37" s="307"/>
      <c r="AT37" s="307"/>
      <c r="AU37" s="307"/>
      <c r="AV37" s="307"/>
      <c r="AW37" s="307"/>
      <c r="AX37" s="307"/>
      <c r="AY37" s="106"/>
    </row>
    <row r="38" spans="1:51" ht="12.75" customHeight="1" x14ac:dyDescent="0.2">
      <c r="A38" s="475"/>
      <c r="B38" s="446"/>
      <c r="C38" s="446"/>
      <c r="D38" s="487"/>
      <c r="E38" s="191"/>
      <c r="F38" s="475"/>
      <c r="G38" s="446"/>
      <c r="H38" s="446"/>
      <c r="I38" s="376"/>
      <c r="J38" s="204"/>
      <c r="K38" s="191"/>
      <c r="L38" s="475"/>
      <c r="M38" s="446"/>
      <c r="N38" s="446"/>
      <c r="O38" s="376"/>
      <c r="P38" s="38"/>
      <c r="Q38" s="475"/>
      <c r="R38" s="446"/>
      <c r="S38" s="446"/>
      <c r="T38" s="376"/>
      <c r="U38" s="273"/>
      <c r="V38" s="275"/>
      <c r="W38" s="467"/>
      <c r="X38" s="446"/>
      <c r="Y38" s="446"/>
      <c r="Z38" s="376"/>
      <c r="AA38" s="273"/>
      <c r="AB38" s="299"/>
      <c r="AC38" s="164"/>
      <c r="AD38" s="164"/>
      <c r="AE38" s="164"/>
      <c r="AF38" s="164"/>
      <c r="AG38" s="164"/>
      <c r="AH38" s="164"/>
      <c r="AI38" s="164"/>
      <c r="AJ38" s="164"/>
      <c r="AK38" s="164"/>
      <c r="AL38" s="164"/>
      <c r="AM38" s="164"/>
      <c r="AN38" s="307"/>
      <c r="AO38" s="307"/>
      <c r="AP38" s="307"/>
      <c r="AQ38" s="307"/>
      <c r="AR38" s="307"/>
      <c r="AS38" s="307"/>
      <c r="AT38" s="307"/>
      <c r="AU38" s="307"/>
      <c r="AV38" s="307"/>
      <c r="AW38" s="307"/>
      <c r="AX38" s="307"/>
      <c r="AY38" s="106"/>
    </row>
    <row r="39" spans="1:51" ht="12.75" customHeight="1" x14ac:dyDescent="0.25">
      <c r="A39" s="459" t="s">
        <v>15</v>
      </c>
      <c r="B39" s="460"/>
      <c r="C39" s="461"/>
      <c r="D39" s="183">
        <f>IF(OR(AND(D34=0,D31=0,D37=0),D34="n/a",D31="n/a",D37="n/a"),"",((E29+D33+D36)/200))</f>
        <v>0.77500000000000002</v>
      </c>
      <c r="E39" s="191">
        <f>(E29+D33+D36)/200</f>
        <v>0.77500000000000002</v>
      </c>
      <c r="F39" s="459" t="s">
        <v>15</v>
      </c>
      <c r="G39" s="460"/>
      <c r="H39" s="461"/>
      <c r="I39" s="183">
        <f>(J29+I33+I36)/200</f>
        <v>0.97499999999999998</v>
      </c>
      <c r="J39" s="191">
        <f>(J29+I33+I36)/200</f>
        <v>0.97499999999999998</v>
      </c>
      <c r="K39" s="205"/>
      <c r="L39" s="459" t="s">
        <v>15</v>
      </c>
      <c r="M39" s="460"/>
      <c r="N39" s="461"/>
      <c r="O39" s="184">
        <f>(P29+O33+O36)/200</f>
        <v>0.97499999999999998</v>
      </c>
      <c r="P39" s="191">
        <f>(P29+O33+O36)/200</f>
        <v>0.97499999999999998</v>
      </c>
      <c r="Q39" s="459" t="s">
        <v>15</v>
      </c>
      <c r="R39" s="460"/>
      <c r="S39" s="461"/>
      <c r="T39" s="184">
        <f>(U29+T33+T36)/200</f>
        <v>0.97499999999999998</v>
      </c>
      <c r="U39" s="10"/>
      <c r="V39" s="34">
        <f>(V29+T33+T36)/200</f>
        <v>0.97499999999999998</v>
      </c>
      <c r="W39" s="459" t="s">
        <v>15</v>
      </c>
      <c r="X39" s="460"/>
      <c r="Y39" s="461"/>
      <c r="Z39" s="184">
        <f>(AA29+Z33+Z36)/200</f>
        <v>0.97499999999999998</v>
      </c>
      <c r="AA39" s="10"/>
      <c r="AB39" s="164"/>
      <c r="AC39" s="164"/>
      <c r="AD39" s="164"/>
      <c r="AE39" s="164"/>
      <c r="AF39" s="164"/>
      <c r="AG39" s="164"/>
      <c r="AH39" s="164"/>
      <c r="AI39" s="164"/>
      <c r="AJ39" s="164"/>
      <c r="AK39" s="164"/>
      <c r="AL39" s="164"/>
      <c r="AM39" s="164"/>
      <c r="AN39" s="300"/>
      <c r="AO39" s="300"/>
      <c r="AP39" s="300"/>
      <c r="AQ39" s="300"/>
      <c r="AR39" s="300"/>
      <c r="AS39" s="300"/>
      <c r="AT39" s="300"/>
      <c r="AU39" s="300"/>
      <c r="AV39" s="300"/>
      <c r="AW39" s="300"/>
      <c r="AX39" s="300"/>
    </row>
    <row r="40" spans="1:51" ht="24.75" customHeight="1" x14ac:dyDescent="0.2">
      <c r="A40" s="450" t="s">
        <v>177</v>
      </c>
      <c r="B40" s="451"/>
      <c r="C40" s="451"/>
      <c r="D40" s="452"/>
      <c r="E40" s="191"/>
      <c r="F40" s="450" t="s">
        <v>177</v>
      </c>
      <c r="G40" s="451"/>
      <c r="H40" s="451"/>
      <c r="I40" s="452"/>
      <c r="J40" s="206"/>
      <c r="K40" s="198"/>
      <c r="L40" s="450" t="s">
        <v>180</v>
      </c>
      <c r="M40" s="451"/>
      <c r="N40" s="451"/>
      <c r="O40" s="452"/>
      <c r="P40" s="32"/>
      <c r="Q40" s="450" t="s">
        <v>180</v>
      </c>
      <c r="R40" s="451"/>
      <c r="S40" s="451"/>
      <c r="T40" s="452"/>
      <c r="U40" s="20">
        <f>(U29+T33+T36)/200</f>
        <v>0.97499999999999998</v>
      </c>
      <c r="V40" s="32"/>
      <c r="W40" s="450" t="s">
        <v>180</v>
      </c>
      <c r="X40" s="451"/>
      <c r="Y40" s="451"/>
      <c r="Z40" s="452"/>
      <c r="AA40" s="20">
        <f>(AA29+Z33+Z36)/200</f>
        <v>0.97499999999999998</v>
      </c>
      <c r="AB40" s="164"/>
      <c r="AC40" s="164"/>
      <c r="AD40" s="164"/>
      <c r="AE40" s="164"/>
      <c r="AF40" s="164"/>
      <c r="AG40" s="164"/>
      <c r="AH40" s="164"/>
      <c r="AI40" s="164"/>
      <c r="AJ40" s="164"/>
      <c r="AK40" s="164"/>
      <c r="AL40" s="164"/>
      <c r="AM40" s="164"/>
      <c r="AN40" s="300"/>
      <c r="AO40" s="300"/>
      <c r="AP40" s="300"/>
      <c r="AQ40" s="300"/>
      <c r="AR40" s="300"/>
      <c r="AS40" s="300"/>
      <c r="AT40" s="300"/>
      <c r="AU40" s="300"/>
      <c r="AV40" s="300"/>
      <c r="AW40" s="300"/>
      <c r="AX40" s="300"/>
    </row>
    <row r="41" spans="1:51" ht="18" customHeight="1" x14ac:dyDescent="0.2">
      <c r="A41" s="213" t="s">
        <v>181</v>
      </c>
      <c r="B41" s="195"/>
      <c r="C41" s="195"/>
      <c r="D41" s="196"/>
      <c r="E41" s="191"/>
      <c r="F41" s="213" t="s">
        <v>181</v>
      </c>
      <c r="G41" s="195"/>
      <c r="H41" s="195"/>
      <c r="I41" s="196"/>
      <c r="J41" s="207"/>
      <c r="K41" s="198"/>
      <c r="L41" s="213" t="s">
        <v>181</v>
      </c>
      <c r="M41" s="47"/>
      <c r="N41" s="47"/>
      <c r="O41" s="48"/>
      <c r="P41" s="32"/>
      <c r="Q41" s="213" t="s">
        <v>181</v>
      </c>
      <c r="R41" s="47"/>
      <c r="S41" s="47"/>
      <c r="T41" s="48"/>
      <c r="U41" s="24"/>
      <c r="V41" s="32"/>
      <c r="W41" s="213" t="s">
        <v>181</v>
      </c>
      <c r="X41" s="47"/>
      <c r="Y41" s="47"/>
      <c r="Z41" s="48"/>
      <c r="AA41" s="24"/>
      <c r="AB41" s="164"/>
      <c r="AC41" s="164"/>
      <c r="AD41" s="164"/>
      <c r="AE41" s="164"/>
      <c r="AF41" s="164"/>
      <c r="AG41" s="164"/>
      <c r="AH41" s="164"/>
      <c r="AI41" s="164"/>
      <c r="AJ41" s="164"/>
      <c r="AK41" s="164"/>
      <c r="AL41" s="164"/>
      <c r="AM41" s="164"/>
      <c r="AN41" s="300"/>
      <c r="AO41" s="300"/>
      <c r="AP41" s="300"/>
      <c r="AQ41" s="300"/>
      <c r="AR41" s="300"/>
      <c r="AS41" s="300"/>
      <c r="AT41" s="300"/>
      <c r="AU41" s="300"/>
      <c r="AV41" s="300"/>
      <c r="AW41" s="300"/>
      <c r="AX41" s="300"/>
    </row>
    <row r="42" spans="1:51" ht="13.5" customHeight="1" x14ac:dyDescent="0.2">
      <c r="A42" s="474" t="str">
        <f>IF(AND(D42&gt;77,D42&lt;=100),"Very Good",IF(AND(D42&lt;=77,D42&gt;67),"Good",IF(AND(D42&lt;=67,D42&gt;=60.6),"Grey Zone",IF(AND(D42&lt;=60.5,D42&gt;44),"Fair",IF(AND(D42&lt;=44,D42&gt;22),"Poor",IF(AND(D42&gt;0,D42&lt;=22),"Very Poor",0))))))</f>
        <v>Good</v>
      </c>
      <c r="B42" s="444" t="s">
        <v>12</v>
      </c>
      <c r="C42" s="444" t="s">
        <v>46</v>
      </c>
      <c r="D42" s="486">
        <v>72</v>
      </c>
      <c r="E42" s="192"/>
      <c r="F42" s="474" t="str">
        <f>IF(AND(I42&gt;77,I42&lt;=100),"Very Good",IF(AND(I42&lt;=77,I42&gt;67),"Good",IF(AND(I42&lt;=67,I42&gt;=60.6),"Grey Zone",IF(AND(I42&lt;=60.5,I42&gt;44),"Fair",IF(AND(I42&lt;=44,I42&gt;22),"Poor",IF(AND(I42&gt;0,I42&lt;=22),"Very Poor",""))))))</f>
        <v>Very Good</v>
      </c>
      <c r="G42" s="444" t="s">
        <v>12</v>
      </c>
      <c r="H42" s="444" t="s">
        <v>46</v>
      </c>
      <c r="I42" s="371">
        <v>82</v>
      </c>
      <c r="J42" s="204"/>
      <c r="K42" s="198"/>
      <c r="L42" s="474" t="str">
        <f>IF(AND(O42&gt;77,O42&lt;=100),"Very Good",IF(AND(O42&lt;=77,O42&gt;67),"Good",IF(AND(O42&lt;=67,O42&gt;=60.6),"Grey Zone",IF(AND(O42&lt;=60.5,O42&gt;44),"Fair",IF(AND(O42&lt;=44,O42&gt;22),"Poor",IF(AND(O42&gt;0,O42&lt;=22),"Very Poor",""))))))</f>
        <v>Very Good</v>
      </c>
      <c r="M42" s="444" t="s">
        <v>12</v>
      </c>
      <c r="N42" s="444" t="s">
        <v>46</v>
      </c>
      <c r="O42" s="371">
        <v>82</v>
      </c>
      <c r="P42" s="32"/>
      <c r="Q42" s="474" t="str">
        <f>IF(AND(T42&gt;77,T42&lt;=100),"Very Good",IF(AND(T42&lt;=77,T42&gt;67),"Good",IF(AND(T42&lt;=67,T42&gt;=60.6),"Grey Zone",IF(AND(T42&lt;=60.5,T42&gt;44),"Fair",IF(AND(T42&lt;=44,T42&gt;22),"Poor",IF(AND(T42&gt;0,T42&lt;=22),"Very Poor",""))))))</f>
        <v>Very Good</v>
      </c>
      <c r="R42" s="444" t="s">
        <v>12</v>
      </c>
      <c r="S42" s="444" t="s">
        <v>46</v>
      </c>
      <c r="T42" s="371">
        <v>82</v>
      </c>
      <c r="U42" s="272"/>
      <c r="V42" s="276"/>
      <c r="W42" s="466" t="str">
        <f>IF(AND(Z42&gt;77,Z42&lt;=100),"Very Good",IF(AND(Z42&lt;=77,Z42&gt;67),"Good",IF(AND(Z42&lt;=67,Z42&gt;=60.6),"Grey Zone",IF(AND(Z42&lt;=60.5,Z42&gt;44),"Fair",IF(AND(Z42&lt;=44,Z42&gt;22),"Poor",IF(AND(Z42&gt;0,Z42&lt;=22),"Very Poor",""))))))</f>
        <v>Very Good</v>
      </c>
      <c r="X42" s="444" t="s">
        <v>12</v>
      </c>
      <c r="Y42" s="444" t="s">
        <v>46</v>
      </c>
      <c r="Z42" s="371">
        <v>82</v>
      </c>
      <c r="AA42" s="272"/>
      <c r="AB42" s="299"/>
      <c r="AC42" s="164"/>
      <c r="AD42" s="164"/>
      <c r="AE42" s="164"/>
      <c r="AF42" s="164"/>
      <c r="AG42" s="164"/>
      <c r="AH42" s="164"/>
      <c r="AI42" s="164"/>
      <c r="AJ42" s="164"/>
      <c r="AK42" s="164"/>
      <c r="AL42" s="164"/>
      <c r="AM42" s="164"/>
      <c r="AN42" s="300"/>
      <c r="AO42" s="300"/>
      <c r="AP42" s="300"/>
      <c r="AQ42" s="300"/>
      <c r="AR42" s="300"/>
      <c r="AS42" s="300"/>
      <c r="AT42" s="300"/>
      <c r="AU42" s="300"/>
      <c r="AV42" s="300"/>
      <c r="AW42" s="300"/>
      <c r="AX42" s="300"/>
    </row>
    <row r="43" spans="1:51" ht="13.5" customHeight="1" x14ac:dyDescent="0.2">
      <c r="A43" s="475"/>
      <c r="B43" s="446"/>
      <c r="C43" s="446"/>
      <c r="D43" s="487"/>
      <c r="E43" s="189"/>
      <c r="F43" s="475"/>
      <c r="G43" s="446"/>
      <c r="H43" s="446"/>
      <c r="I43" s="376"/>
      <c r="J43" s="204"/>
      <c r="K43" s="198"/>
      <c r="L43" s="475"/>
      <c r="M43" s="446"/>
      <c r="N43" s="446"/>
      <c r="O43" s="376"/>
      <c r="P43" s="32"/>
      <c r="Q43" s="475"/>
      <c r="R43" s="446"/>
      <c r="S43" s="446"/>
      <c r="T43" s="376"/>
      <c r="U43" s="272"/>
      <c r="V43" s="276"/>
      <c r="W43" s="467"/>
      <c r="X43" s="446"/>
      <c r="Y43" s="446"/>
      <c r="Z43" s="376"/>
      <c r="AA43" s="272"/>
      <c r="AB43" s="299"/>
      <c r="AC43" s="164"/>
      <c r="AD43" s="164"/>
      <c r="AE43" s="164"/>
      <c r="AF43" s="164"/>
      <c r="AG43" s="164"/>
      <c r="AH43" s="164"/>
      <c r="AI43" s="164"/>
      <c r="AJ43" s="164"/>
      <c r="AK43" s="164"/>
      <c r="AL43" s="164"/>
      <c r="AM43" s="164"/>
      <c r="AN43" s="300"/>
      <c r="AO43" s="300"/>
      <c r="AP43" s="300"/>
      <c r="AQ43" s="300"/>
      <c r="AR43" s="300"/>
      <c r="AS43" s="300"/>
      <c r="AT43" s="300"/>
      <c r="AU43" s="300"/>
      <c r="AV43" s="300"/>
      <c r="AW43" s="300"/>
      <c r="AX43" s="300"/>
    </row>
    <row r="44" spans="1:51" ht="15" x14ac:dyDescent="0.25">
      <c r="A44" s="459" t="s">
        <v>15</v>
      </c>
      <c r="B44" s="460"/>
      <c r="C44" s="461"/>
      <c r="D44" s="184">
        <f>IF(OR(D42="n/a",D42="N/A"),0,IF(AND(D42&lt;=100,D42&gt;=86),1,IF(AND(D42&lt;86,D42&gt;=60.6),D42/100,IF(AND(D42&lt;60.6,D42&gt;=20),(D42-10)/100,IF(D42&lt;20,0)))))</f>
        <v>0.72</v>
      </c>
      <c r="E44" s="193">
        <f>IF(AND(D42&lt;=100,D42&gt;=78),1,IF(AND(D42&gt;=68,D42&lt;78),0.75,IF(AND(D42&gt;=60.6,D42&lt;68),0.5,IF(AND(D42&gt;=45,D42&lt;60.6),0.25,IF(AND(D42&gt;=0,D42&lt;22),0,0)))))</f>
        <v>0.75</v>
      </c>
      <c r="F44" s="459" t="s">
        <v>15</v>
      </c>
      <c r="G44" s="460"/>
      <c r="H44" s="461"/>
      <c r="I44" s="184">
        <f>IF(OR(I42="n/a",I42="N/A"),0,IF(AND(I42&lt;=100,I42&gt;=86),1,IF(AND(I42&lt;86,I42&gt;=60.6),I42/100,IF(AND(I42&lt;60.6,I42&gt;=20),(I42-10)/100,IF(I42&lt;20,0)))))</f>
        <v>0.82</v>
      </c>
      <c r="J44" s="193">
        <f>IF(AND(I42&lt;=100,I42&gt;=78),1,IF(AND(I42&gt;=68,I42&lt;78),0.75,IF(AND(I42&gt;=60.6,I42&lt;68),0.5,IF(AND(I42&gt;=45,I42&lt;60.6),0.25,IF(AND(I42&gt;=0,I42&lt;22),0,0)))))</f>
        <v>1</v>
      </c>
      <c r="K44" s="198"/>
      <c r="L44" s="459" t="s">
        <v>15</v>
      </c>
      <c r="M44" s="460"/>
      <c r="N44" s="461"/>
      <c r="O44" s="184">
        <f>IF(OR(O42="n/a",O42="N/A"),0,IF(AND(O42&lt;=100,O42&gt;=86),1,IF(AND(O42&lt;86,O42&gt;=60.6),O42/100,IF(AND(O42&lt;60.6,O42&gt;=20),(O42-10)/100,IF(O42&lt;20,0)))))</f>
        <v>0.82</v>
      </c>
      <c r="P44" s="39">
        <f>IF(AND(I42&lt;=100,I42&gt;=78),1,IF(AND(I42&gt;=68,I42&lt;78),0.75,IF(AND(I42&gt;=60.6,I42&lt;68),0.5,IF(AND(I42&gt;=45,I42&lt;60.6),0.25,IF(AND(I42&gt;=0,I42&lt;22),0,0)))))</f>
        <v>1</v>
      </c>
      <c r="Q44" s="459" t="s">
        <v>15</v>
      </c>
      <c r="R44" s="460"/>
      <c r="S44" s="461"/>
      <c r="T44" s="184">
        <f>IF(OR(T42="n/a",T42="N/A"),0,IF(AND(T42&lt;=100,T42&gt;=86),1,IF(AND(T42&lt;86,T42&gt;=60.6),T42/100,IF(AND(T42&lt;60.6,T42&gt;=20),(T42-10)/100,IF(T42&lt;20,0)))))</f>
        <v>0.82</v>
      </c>
      <c r="U44" s="24"/>
      <c r="V44" s="39">
        <f>IF(AND(O42&lt;=100,O42&gt;=78),1,IF(AND(O42&gt;=68,O42&lt;78),0.75,IF(AND(O42&gt;=60.6,O42&lt;68),0.5,IF(AND(O42&gt;=45,O42&lt;60.6),0.25,IF(AND(O42&gt;=0,O42&lt;22),0,0)))))</f>
        <v>1</v>
      </c>
      <c r="W44" s="459" t="s">
        <v>15</v>
      </c>
      <c r="X44" s="460"/>
      <c r="Y44" s="461"/>
      <c r="Z44" s="184">
        <f>IF(OR(Z42="n/a",Z42="N/A"),0,IF(AND(Z42&lt;=100,Z42&gt;=86),1,IF(AND(Z42&lt;86,Z42&gt;=60.6),Z42/100,IF(AND(Z42&lt;60.6,Z42&gt;=20),(Z42-10)/100,IF(Z42&lt;20,0)))))</f>
        <v>0.82</v>
      </c>
      <c r="AA44" s="24"/>
      <c r="AB44" s="164"/>
      <c r="AC44" s="164"/>
      <c r="AD44" s="164"/>
      <c r="AE44" s="164"/>
      <c r="AF44" s="164"/>
      <c r="AG44" s="164"/>
      <c r="AH44" s="164"/>
      <c r="AI44" s="164"/>
      <c r="AJ44" s="164"/>
      <c r="AK44" s="164"/>
      <c r="AL44" s="164"/>
      <c r="AM44" s="164"/>
      <c r="AN44" s="300"/>
      <c r="AO44" s="300"/>
      <c r="AP44" s="300"/>
      <c r="AQ44" s="300"/>
      <c r="AR44" s="300"/>
      <c r="AS44" s="300"/>
      <c r="AT44" s="300"/>
      <c r="AU44" s="300"/>
      <c r="AV44" s="300"/>
      <c r="AW44" s="300"/>
      <c r="AX44" s="300"/>
    </row>
    <row r="45" spans="1:51" ht="23.25" customHeight="1" x14ac:dyDescent="0.2">
      <c r="A45" s="200"/>
      <c r="B45" s="200"/>
      <c r="C45" s="200"/>
      <c r="D45" s="200"/>
      <c r="E45" s="198"/>
      <c r="F45" s="202"/>
      <c r="G45" s="202"/>
      <c r="H45" s="202"/>
      <c r="I45" s="185"/>
      <c r="J45" s="153"/>
      <c r="K45" s="153"/>
      <c r="L45" s="41"/>
      <c r="M45" s="42"/>
      <c r="N45" s="42"/>
      <c r="O45" s="42"/>
      <c r="P45" s="32"/>
      <c r="Q45" s="41"/>
      <c r="R45" s="42"/>
      <c r="S45" s="42"/>
      <c r="T45" s="42"/>
      <c r="U45" s="23">
        <f>IF(AND(T42&lt;=100,T42&gt;=78),1,IF(AND(T42&gt;=68,T42&lt;78),0.75,IF(AND(T42&gt;=60.6,T42&lt;68),0.5,IF(AND(T42&gt;=45,T42&lt;60.6),0.25,IF(AND(T42&gt;=0,T42&lt;22),0,0)))))</f>
        <v>1</v>
      </c>
      <c r="V45" s="32"/>
      <c r="W45" s="202"/>
      <c r="X45" s="42"/>
      <c r="Y45" s="42"/>
      <c r="Z45" s="42"/>
      <c r="AA45" s="23">
        <f>IF(AND(Z42&lt;=100,Z42&gt;=78),1,IF(AND(Z42&gt;=68,Z42&lt;78),0.75,IF(AND(Z42&gt;=60.6,Z42&lt;68),0.5,IF(AND(Z42&gt;=45,Z42&lt;60.6),0.25,IF(AND(Z42&gt;=0,Z42&lt;22),0,0)))))</f>
        <v>1</v>
      </c>
      <c r="AB45" s="164"/>
      <c r="AC45" s="164"/>
      <c r="AD45" s="164"/>
      <c r="AE45" s="164"/>
      <c r="AF45" s="164"/>
      <c r="AG45" s="164"/>
      <c r="AH45" s="164"/>
      <c r="AI45" s="164"/>
      <c r="AJ45" s="164"/>
      <c r="AK45" s="164"/>
      <c r="AL45" s="164"/>
      <c r="AM45" s="164"/>
      <c r="AN45" s="300"/>
      <c r="AO45" s="300"/>
      <c r="AP45" s="300"/>
      <c r="AQ45" s="300"/>
      <c r="AR45" s="300"/>
      <c r="AS45" s="300"/>
      <c r="AT45" s="300"/>
      <c r="AU45" s="300"/>
      <c r="AV45" s="300"/>
      <c r="AW45" s="300"/>
      <c r="AX45" s="300"/>
    </row>
    <row r="46" spans="1:51" ht="31.5" customHeight="1" x14ac:dyDescent="0.2">
      <c r="A46" s="488" t="s">
        <v>96</v>
      </c>
      <c r="B46" s="489"/>
      <c r="C46" s="489"/>
      <c r="D46" s="490"/>
      <c r="E46" s="201"/>
      <c r="F46" s="468" t="s">
        <v>96</v>
      </c>
      <c r="G46" s="469"/>
      <c r="H46" s="469"/>
      <c r="I46" s="470"/>
      <c r="J46" s="30"/>
      <c r="K46" s="28"/>
      <c r="L46" s="468" t="s">
        <v>96</v>
      </c>
      <c r="M46" s="469"/>
      <c r="N46" s="469"/>
      <c r="O46" s="470"/>
      <c r="P46" s="32"/>
      <c r="Q46" s="468" t="s">
        <v>96</v>
      </c>
      <c r="R46" s="469"/>
      <c r="S46" s="469"/>
      <c r="T46" s="470"/>
      <c r="U46" s="24"/>
      <c r="V46" s="32"/>
      <c r="W46" s="468" t="s">
        <v>96</v>
      </c>
      <c r="X46" s="469"/>
      <c r="Y46" s="469"/>
      <c r="Z46" s="470"/>
      <c r="AA46" s="24"/>
      <c r="AB46" s="164"/>
      <c r="AC46" s="164"/>
      <c r="AD46" s="164"/>
      <c r="AE46" s="164"/>
      <c r="AF46" s="164"/>
      <c r="AG46" s="164"/>
      <c r="AH46" s="164"/>
      <c r="AI46" s="164"/>
      <c r="AJ46" s="164"/>
      <c r="AK46" s="164"/>
      <c r="AL46" s="164"/>
      <c r="AM46" s="164"/>
      <c r="AN46" s="300"/>
      <c r="AO46" s="300"/>
      <c r="AP46" s="300"/>
      <c r="AQ46" s="300"/>
      <c r="AR46" s="300"/>
      <c r="AS46" s="300"/>
      <c r="AT46" s="300"/>
      <c r="AU46" s="300"/>
      <c r="AV46" s="300"/>
      <c r="AW46" s="300"/>
      <c r="AX46" s="300"/>
    </row>
    <row r="47" spans="1:51" x14ac:dyDescent="0.2">
      <c r="A47" s="491"/>
      <c r="B47" s="492"/>
      <c r="C47" s="492"/>
      <c r="D47" s="493"/>
      <c r="E47" s="201"/>
      <c r="F47" s="468"/>
      <c r="G47" s="469"/>
      <c r="H47" s="469"/>
      <c r="I47" s="470"/>
      <c r="J47" s="30"/>
      <c r="K47" s="24"/>
      <c r="L47" s="468"/>
      <c r="M47" s="469"/>
      <c r="N47" s="469"/>
      <c r="O47" s="470"/>
      <c r="P47" s="32"/>
      <c r="Q47" s="468"/>
      <c r="R47" s="469"/>
      <c r="S47" s="469"/>
      <c r="T47" s="470"/>
      <c r="U47" s="33"/>
      <c r="V47" s="32"/>
      <c r="W47" s="468"/>
      <c r="X47" s="469"/>
      <c r="Y47" s="469"/>
      <c r="Z47" s="470"/>
      <c r="AA47" s="33"/>
      <c r="AB47" s="164"/>
      <c r="AC47" s="164"/>
      <c r="AD47" s="164"/>
      <c r="AE47" s="164"/>
      <c r="AF47" s="164"/>
      <c r="AG47" s="164"/>
      <c r="AH47" s="164"/>
      <c r="AI47" s="164"/>
      <c r="AJ47" s="164"/>
      <c r="AK47" s="164"/>
      <c r="AL47" s="164"/>
      <c r="AM47" s="164"/>
      <c r="AN47" s="300"/>
      <c r="AO47" s="300"/>
      <c r="AP47" s="300"/>
      <c r="AQ47" s="300"/>
      <c r="AR47" s="300"/>
      <c r="AS47" s="300"/>
      <c r="AT47" s="300"/>
      <c r="AU47" s="300"/>
      <c r="AV47" s="300"/>
      <c r="AW47" s="300"/>
      <c r="AX47" s="300"/>
    </row>
    <row r="48" spans="1:51" ht="15.75" customHeight="1" x14ac:dyDescent="0.2">
      <c r="A48" s="471" t="s">
        <v>42</v>
      </c>
      <c r="B48" s="472" t="s">
        <v>107</v>
      </c>
      <c r="C48" s="472"/>
      <c r="D48" s="473" t="s">
        <v>45</v>
      </c>
      <c r="E48" s="201"/>
      <c r="F48" s="471" t="s">
        <v>42</v>
      </c>
      <c r="G48" s="472" t="s">
        <v>107</v>
      </c>
      <c r="H48" s="472"/>
      <c r="I48" s="473" t="s">
        <v>45</v>
      </c>
      <c r="J48" s="30"/>
      <c r="K48" s="31"/>
      <c r="L48" s="471" t="s">
        <v>42</v>
      </c>
      <c r="M48" s="472" t="s">
        <v>107</v>
      </c>
      <c r="N48" s="472"/>
      <c r="O48" s="473" t="s">
        <v>45</v>
      </c>
      <c r="P48" s="32"/>
      <c r="Q48" s="471" t="s">
        <v>42</v>
      </c>
      <c r="R48" s="472" t="s">
        <v>107</v>
      </c>
      <c r="S48" s="472"/>
      <c r="T48" s="473" t="s">
        <v>45</v>
      </c>
      <c r="U48" s="33"/>
      <c r="V48" s="32"/>
      <c r="W48" s="471" t="s">
        <v>42</v>
      </c>
      <c r="X48" s="472" t="s">
        <v>107</v>
      </c>
      <c r="Y48" s="472"/>
      <c r="Z48" s="473" t="s">
        <v>45</v>
      </c>
      <c r="AA48" s="33"/>
      <c r="AB48" s="164"/>
      <c r="AC48" s="296"/>
      <c r="AD48" s="292"/>
      <c r="AE48" s="292"/>
      <c r="AF48" s="164"/>
      <c r="AG48" s="164"/>
      <c r="AH48" s="164"/>
      <c r="AI48" s="164"/>
      <c r="AJ48" s="164"/>
      <c r="AK48" s="164"/>
      <c r="AL48" s="164"/>
      <c r="AM48" s="164"/>
      <c r="AN48" s="300"/>
      <c r="AO48" s="300"/>
      <c r="AP48" s="300"/>
      <c r="AQ48" s="300"/>
      <c r="AR48" s="300"/>
      <c r="AS48" s="300"/>
      <c r="AT48" s="300"/>
      <c r="AU48" s="300"/>
      <c r="AV48" s="300"/>
      <c r="AW48" s="300"/>
      <c r="AX48" s="300"/>
    </row>
    <row r="49" spans="1:50" ht="12.75" customHeight="1" x14ac:dyDescent="0.2">
      <c r="A49" s="471"/>
      <c r="B49" s="472"/>
      <c r="C49" s="472"/>
      <c r="D49" s="473"/>
      <c r="E49" s="201"/>
      <c r="F49" s="471"/>
      <c r="G49" s="472"/>
      <c r="H49" s="472"/>
      <c r="I49" s="473"/>
      <c r="J49" s="30"/>
      <c r="K49" s="31"/>
      <c r="L49" s="471"/>
      <c r="M49" s="472"/>
      <c r="N49" s="472"/>
      <c r="O49" s="473"/>
      <c r="P49" s="32"/>
      <c r="Q49" s="471"/>
      <c r="R49" s="472"/>
      <c r="S49" s="472"/>
      <c r="T49" s="473"/>
      <c r="U49" s="33"/>
      <c r="V49" s="32"/>
      <c r="W49" s="471"/>
      <c r="X49" s="472"/>
      <c r="Y49" s="472"/>
      <c r="Z49" s="473"/>
      <c r="AA49" s="33"/>
      <c r="AB49" s="164"/>
      <c r="AC49" s="296"/>
      <c r="AD49" s="292"/>
      <c r="AE49" s="292"/>
      <c r="AF49" s="164"/>
      <c r="AG49" s="164"/>
      <c r="AH49" s="164"/>
      <c r="AI49" s="164"/>
      <c r="AJ49" s="164"/>
      <c r="AK49" s="164"/>
      <c r="AL49" s="164"/>
      <c r="AM49" s="164"/>
      <c r="AN49" s="300"/>
      <c r="AO49" s="300"/>
      <c r="AP49" s="300"/>
      <c r="AQ49" s="300"/>
      <c r="AR49" s="300"/>
      <c r="AS49" s="300"/>
      <c r="AT49" s="300"/>
      <c r="AU49" s="300"/>
      <c r="AV49" s="300"/>
      <c r="AW49" s="300"/>
      <c r="AX49" s="300"/>
    </row>
    <row r="50" spans="1:50" ht="12.75" customHeight="1" x14ac:dyDescent="0.2">
      <c r="A50" s="494">
        <f>IF(OR(D9="",D9=0,D9="N/A",D9="na"),IF(D42=0,(D27+E39)/2,(D44+E39+D27)/3),IF(D42=0,((D27+E39)/2+D9)/2,(((D44+E39+D27)/3)+D9)/2))</f>
        <v>0.76416666666666666</v>
      </c>
      <c r="B50" s="464">
        <f>B3</f>
        <v>50</v>
      </c>
      <c r="C50" s="464"/>
      <c r="D50" s="457">
        <f>A50*B50</f>
        <v>38.208333333333336</v>
      </c>
      <c r="E50" s="201"/>
      <c r="F50" s="462">
        <f>IF(OR(I9="",I9=0,I9="N/A",I9="na"),IF(I44=0,(I27+J39)/2,(I44+J39+I27)/3),IF(I44=0,((I27+J39)/2+I9)/2,((I44+J39+I27)/3+I9)/2))</f>
        <v>0.86583333333333334</v>
      </c>
      <c r="G50" s="464">
        <f>X3</f>
        <v>650</v>
      </c>
      <c r="H50" s="464"/>
      <c r="I50" s="457">
        <f>F50*G50</f>
        <v>562.79166666666663</v>
      </c>
      <c r="J50" s="10"/>
      <c r="K50" s="24"/>
      <c r="L50" s="462">
        <f>IF(OR(O9="",O9=0,O9="N/A",O9="na"),IF(O44=0,(O27+P39)/2,(O44+P39+O27)/3),IF(O44=0,((O27+P39)/2+O9)/2,((O44+P39+O27)/3+O9)/2))</f>
        <v>0.86583333333333334</v>
      </c>
      <c r="M50" s="464">
        <f>X3</f>
        <v>650</v>
      </c>
      <c r="N50" s="464"/>
      <c r="O50" s="457">
        <f>L50*M50</f>
        <v>562.79166666666663</v>
      </c>
      <c r="P50" s="32"/>
      <c r="Q50" s="462">
        <f>IF(OR(T9="",T9=0,T9="N/A",T9="na"),IF(T44=0,(T27+V39)/2,(T44+V39+T27)/3),IF(T44=0,((T27+V39)/2+T9)/2,((T44+V39+T27)/3+T9)/2))</f>
        <v>0.86583333333333334</v>
      </c>
      <c r="R50" s="464">
        <f>X3</f>
        <v>650</v>
      </c>
      <c r="S50" s="464"/>
      <c r="T50" s="457">
        <f>Q50*R50</f>
        <v>562.79166666666663</v>
      </c>
      <c r="U50" s="33"/>
      <c r="V50" s="32"/>
      <c r="W50" s="462">
        <f>IF(OR(Z9="",Z9=0,Z9="N/A",Z9="na"),IF(Z44=0,(Z27+Z39)/2,(Z44+Z39+Z27)/3),IF(Z44=0,((Z27+Z39)/2+Z9)/2,((Z44+Z39+Z27)/3+Z9)/2))</f>
        <v>0.86583333333333334</v>
      </c>
      <c r="X50" s="464">
        <f>X3</f>
        <v>650</v>
      </c>
      <c r="Y50" s="464"/>
      <c r="Z50" s="457">
        <f>W50*X50</f>
        <v>562.79166666666663</v>
      </c>
      <c r="AA50" s="33"/>
      <c r="AB50" s="164"/>
      <c r="AC50" s="296"/>
      <c r="AD50" s="292"/>
      <c r="AE50" s="292"/>
      <c r="AF50" s="164"/>
      <c r="AG50" s="164"/>
      <c r="AH50" s="164"/>
      <c r="AI50" s="164"/>
      <c r="AJ50" s="164"/>
      <c r="AK50" s="164"/>
      <c r="AL50" s="164"/>
      <c r="AM50" s="164"/>
      <c r="AN50" s="300"/>
      <c r="AO50" s="300"/>
      <c r="AP50" s="300"/>
      <c r="AQ50" s="300"/>
      <c r="AR50" s="300"/>
      <c r="AS50" s="300"/>
      <c r="AT50" s="300"/>
      <c r="AU50" s="300"/>
      <c r="AV50" s="300"/>
      <c r="AW50" s="300"/>
      <c r="AX50" s="300"/>
    </row>
    <row r="51" spans="1:50" ht="13.5" thickBot="1" x14ac:dyDescent="0.25">
      <c r="A51" s="495"/>
      <c r="B51" s="465"/>
      <c r="C51" s="465"/>
      <c r="D51" s="458"/>
      <c r="E51" s="201"/>
      <c r="F51" s="463"/>
      <c r="G51" s="465"/>
      <c r="H51" s="465"/>
      <c r="I51" s="458"/>
      <c r="J51" s="10"/>
      <c r="K51" s="24"/>
      <c r="L51" s="463"/>
      <c r="M51" s="465"/>
      <c r="N51" s="465"/>
      <c r="O51" s="458"/>
      <c r="P51" s="32"/>
      <c r="Q51" s="463"/>
      <c r="R51" s="465"/>
      <c r="S51" s="465"/>
      <c r="T51" s="458"/>
      <c r="U51" s="32"/>
      <c r="V51" s="32"/>
      <c r="W51" s="463"/>
      <c r="X51" s="465"/>
      <c r="Y51" s="465"/>
      <c r="Z51" s="458"/>
      <c r="AA51" s="32"/>
      <c r="AB51" s="164"/>
      <c r="AC51" s="296"/>
      <c r="AD51" s="292"/>
      <c r="AE51" s="292"/>
      <c r="AF51" s="164"/>
      <c r="AG51" s="164"/>
      <c r="AH51" s="164"/>
      <c r="AI51" s="164"/>
      <c r="AJ51" s="164"/>
      <c r="AK51" s="164"/>
      <c r="AL51" s="164"/>
      <c r="AM51" s="164"/>
      <c r="AN51" s="300"/>
      <c r="AO51" s="300"/>
      <c r="AP51" s="300"/>
      <c r="AQ51" s="300"/>
      <c r="AR51" s="300"/>
      <c r="AS51" s="300"/>
      <c r="AT51" s="300"/>
      <c r="AU51" s="300"/>
      <c r="AV51" s="300"/>
      <c r="AW51" s="300"/>
      <c r="AX51" s="300"/>
    </row>
    <row r="52" spans="1:50" ht="13.5" thickTop="1" x14ac:dyDescent="0.2">
      <c r="A52" s="55"/>
      <c r="B52" s="55"/>
      <c r="C52" s="55"/>
      <c r="D52" s="55"/>
      <c r="E52" s="55"/>
      <c r="F52" s="220"/>
      <c r="G52" s="54"/>
      <c r="H52" s="54"/>
      <c r="I52" s="54"/>
      <c r="J52" s="221"/>
      <c r="K52" s="221"/>
      <c r="L52" s="54"/>
      <c r="M52" s="54"/>
      <c r="N52" s="54"/>
      <c r="O52" s="54"/>
      <c r="P52" s="222"/>
      <c r="Q52" s="220"/>
      <c r="R52" s="55"/>
      <c r="S52" s="55"/>
      <c r="T52" s="55"/>
      <c r="U52" s="59"/>
      <c r="V52" s="55"/>
      <c r="W52" s="54"/>
      <c r="X52" s="54"/>
      <c r="Y52" s="54"/>
      <c r="Z52" s="55"/>
      <c r="AA52" s="59"/>
      <c r="AB52" s="164"/>
      <c r="AC52" s="164"/>
      <c r="AD52" s="164"/>
      <c r="AE52" s="164"/>
      <c r="AF52" s="164"/>
      <c r="AG52" s="164"/>
      <c r="AH52" s="290"/>
      <c r="AI52" s="290"/>
      <c r="AJ52" s="290"/>
      <c r="AK52" s="290"/>
      <c r="AL52" s="290"/>
      <c r="AM52" s="290"/>
      <c r="AN52" s="300"/>
      <c r="AO52" s="300"/>
      <c r="AP52" s="300"/>
      <c r="AQ52" s="300"/>
      <c r="AR52" s="300"/>
      <c r="AS52" s="300"/>
      <c r="AT52" s="300"/>
      <c r="AU52" s="300"/>
      <c r="AV52" s="300"/>
      <c r="AW52" s="300"/>
      <c r="AX52" s="300"/>
    </row>
    <row r="53" spans="1:50" hidden="1" x14ac:dyDescent="0.2">
      <c r="A53" s="164"/>
      <c r="B53" s="164"/>
      <c r="C53" s="164"/>
      <c r="D53" s="164"/>
      <c r="E53" s="164"/>
      <c r="F53" s="301"/>
      <c r="G53" s="301"/>
      <c r="H53" s="292"/>
      <c r="I53" s="302"/>
      <c r="J53" s="302"/>
      <c r="K53" s="303"/>
      <c r="L53" s="303"/>
      <c r="M53" s="303"/>
      <c r="N53" s="303"/>
      <c r="O53" s="303"/>
      <c r="P53" s="303"/>
      <c r="Q53" s="304"/>
      <c r="R53" s="164"/>
      <c r="S53" s="164"/>
      <c r="T53" s="164"/>
      <c r="U53" s="164"/>
      <c r="V53" s="164"/>
      <c r="W53" s="164"/>
      <c r="X53" s="164"/>
      <c r="Y53" s="164"/>
      <c r="Z53" s="164"/>
      <c r="AA53" s="164"/>
      <c r="AB53" s="164"/>
      <c r="AC53" s="164"/>
      <c r="AD53" s="164"/>
      <c r="AE53" s="164"/>
      <c r="AF53" s="164"/>
      <c r="AG53" s="164"/>
      <c r="AH53" s="290"/>
      <c r="AI53" s="290"/>
      <c r="AJ53" s="290"/>
      <c r="AK53" s="290"/>
      <c r="AL53" s="290"/>
      <c r="AM53" s="290"/>
      <c r="AN53" s="300"/>
      <c r="AO53" s="300"/>
      <c r="AP53" s="300"/>
      <c r="AQ53" s="300"/>
      <c r="AR53" s="300"/>
      <c r="AS53" s="300"/>
      <c r="AT53" s="300"/>
      <c r="AU53" s="300"/>
      <c r="AV53" s="300"/>
      <c r="AW53" s="300"/>
      <c r="AX53" s="300"/>
    </row>
    <row r="54" spans="1:50" hidden="1" x14ac:dyDescent="0.2">
      <c r="A54" s="164"/>
      <c r="B54" s="164"/>
      <c r="C54" s="164"/>
      <c r="D54" s="164"/>
      <c r="E54" s="164"/>
      <c r="F54" s="292"/>
      <c r="G54" s="305"/>
      <c r="H54" s="305"/>
      <c r="I54" s="303"/>
      <c r="J54" s="303"/>
      <c r="K54" s="303"/>
      <c r="L54" s="303"/>
      <c r="M54" s="303"/>
      <c r="N54" s="303"/>
      <c r="O54" s="303"/>
      <c r="P54" s="303"/>
      <c r="Q54" s="305"/>
      <c r="R54" s="164"/>
      <c r="S54" s="164"/>
      <c r="T54" s="164"/>
      <c r="U54" s="164"/>
      <c r="V54" s="164"/>
      <c r="W54" s="164"/>
      <c r="X54" s="164"/>
      <c r="Y54" s="164"/>
      <c r="Z54" s="164"/>
      <c r="AA54" s="164"/>
      <c r="AB54" s="164"/>
      <c r="AC54" s="164"/>
      <c r="AD54" s="164"/>
      <c r="AE54" s="164"/>
      <c r="AF54" s="164"/>
      <c r="AG54" s="164"/>
      <c r="AH54" s="290"/>
      <c r="AI54" s="290"/>
      <c r="AJ54" s="290"/>
      <c r="AK54" s="290"/>
      <c r="AL54" s="290"/>
      <c r="AM54" s="290"/>
      <c r="AN54" s="300"/>
      <c r="AO54" s="300"/>
      <c r="AP54" s="300"/>
      <c r="AQ54" s="300"/>
      <c r="AR54" s="300"/>
      <c r="AS54" s="300"/>
      <c r="AT54" s="300"/>
      <c r="AU54" s="300"/>
      <c r="AV54" s="300"/>
      <c r="AW54" s="300"/>
      <c r="AX54" s="300"/>
    </row>
    <row r="55" spans="1:50" hidden="1" x14ac:dyDescent="0.2">
      <c r="A55" s="164"/>
      <c r="B55" s="164"/>
      <c r="C55" s="164"/>
      <c r="D55" s="164"/>
      <c r="E55" s="164"/>
      <c r="F55" s="294"/>
      <c r="G55" s="306"/>
      <c r="H55" s="306"/>
      <c r="I55" s="303"/>
      <c r="J55" s="303"/>
      <c r="K55" s="303"/>
      <c r="L55" s="303"/>
      <c r="M55" s="303"/>
      <c r="N55" s="303"/>
      <c r="O55" s="303"/>
      <c r="P55" s="303"/>
      <c r="Q55" s="305"/>
      <c r="R55" s="164"/>
      <c r="S55" s="164"/>
      <c r="T55" s="164"/>
      <c r="U55" s="164"/>
      <c r="V55" s="164"/>
      <c r="W55" s="164"/>
      <c r="X55" s="164"/>
      <c r="Y55" s="164"/>
      <c r="Z55" s="164"/>
      <c r="AA55" s="164"/>
      <c r="AB55" s="164"/>
      <c r="AC55" s="164"/>
      <c r="AD55" s="164"/>
      <c r="AE55" s="164"/>
      <c r="AF55" s="164"/>
      <c r="AG55" s="164"/>
      <c r="AH55" s="290"/>
      <c r="AI55" s="290"/>
      <c r="AJ55" s="290"/>
      <c r="AK55" s="290"/>
      <c r="AL55" s="290"/>
      <c r="AM55" s="290"/>
      <c r="AN55" s="300"/>
      <c r="AO55" s="300"/>
      <c r="AP55" s="300"/>
      <c r="AQ55" s="300"/>
      <c r="AR55" s="300"/>
      <c r="AS55" s="300"/>
      <c r="AT55" s="300"/>
      <c r="AU55" s="300"/>
      <c r="AV55" s="300"/>
      <c r="AW55" s="300"/>
      <c r="AX55" s="300"/>
    </row>
    <row r="56" spans="1:50" hidden="1" x14ac:dyDescent="0.2">
      <c r="A56" s="164"/>
      <c r="B56" s="164"/>
      <c r="C56" s="164"/>
      <c r="D56" s="164"/>
      <c r="E56" s="164"/>
      <c r="F56" s="294"/>
      <c r="G56" s="305"/>
      <c r="H56" s="305"/>
      <c r="I56" s="303"/>
      <c r="J56" s="303"/>
      <c r="K56" s="303"/>
      <c r="L56" s="303"/>
      <c r="M56" s="303"/>
      <c r="N56" s="303"/>
      <c r="O56" s="303"/>
      <c r="P56" s="303"/>
      <c r="Q56" s="305"/>
      <c r="R56" s="164"/>
      <c r="S56" s="164"/>
      <c r="T56" s="164"/>
      <c r="U56" s="164"/>
      <c r="V56" s="164"/>
      <c r="W56" s="164"/>
      <c r="X56" s="164"/>
      <c r="Y56" s="164"/>
      <c r="Z56" s="164"/>
      <c r="AA56" s="164"/>
      <c r="AB56" s="164"/>
      <c r="AC56" s="164"/>
      <c r="AD56" s="164"/>
      <c r="AE56" s="164"/>
      <c r="AF56" s="164"/>
      <c r="AG56" s="164"/>
      <c r="AH56" s="290"/>
      <c r="AI56" s="290"/>
      <c r="AJ56" s="290"/>
      <c r="AK56" s="290"/>
      <c r="AL56" s="290"/>
      <c r="AM56" s="290"/>
      <c r="AN56" s="300"/>
      <c r="AO56" s="300"/>
      <c r="AP56" s="300"/>
      <c r="AQ56" s="300"/>
      <c r="AR56" s="300"/>
      <c r="AS56" s="300"/>
      <c r="AT56" s="300"/>
      <c r="AU56" s="300"/>
      <c r="AV56" s="300"/>
      <c r="AW56" s="300"/>
      <c r="AX56" s="300"/>
    </row>
    <row r="57" spans="1:50" hidden="1" x14ac:dyDescent="0.2">
      <c r="A57" s="164"/>
      <c r="B57" s="164"/>
      <c r="C57" s="164"/>
      <c r="D57" s="164"/>
      <c r="E57" s="164"/>
      <c r="F57" s="294"/>
      <c r="G57" s="305"/>
      <c r="H57" s="305"/>
      <c r="I57" s="303"/>
      <c r="J57" s="303"/>
      <c r="K57" s="303"/>
      <c r="L57" s="303"/>
      <c r="M57" s="303"/>
      <c r="N57" s="303"/>
      <c r="O57" s="303"/>
      <c r="P57" s="303"/>
      <c r="Q57" s="305"/>
      <c r="R57" s="164"/>
      <c r="S57" s="164"/>
      <c r="T57" s="164"/>
      <c r="U57" s="164"/>
      <c r="V57" s="164"/>
      <c r="W57" s="164"/>
      <c r="X57" s="164"/>
      <c r="Y57" s="164"/>
      <c r="Z57" s="164"/>
      <c r="AA57" s="164"/>
      <c r="AB57" s="164"/>
      <c r="AC57" s="164"/>
      <c r="AD57" s="164"/>
      <c r="AE57" s="164"/>
      <c r="AF57" s="164"/>
      <c r="AG57" s="164"/>
      <c r="AH57" s="290"/>
      <c r="AI57" s="290"/>
      <c r="AJ57" s="290"/>
      <c r="AK57" s="290"/>
      <c r="AL57" s="290"/>
      <c r="AM57" s="290"/>
      <c r="AN57" s="300"/>
      <c r="AO57" s="300"/>
      <c r="AP57" s="300"/>
      <c r="AQ57" s="300"/>
      <c r="AR57" s="300"/>
      <c r="AS57" s="300"/>
      <c r="AT57" s="300"/>
      <c r="AU57" s="300"/>
      <c r="AV57" s="300"/>
      <c r="AW57" s="300"/>
      <c r="AX57" s="300"/>
    </row>
    <row r="58" spans="1:50" hidden="1" x14ac:dyDescent="0.2">
      <c r="A58" s="164"/>
      <c r="B58" s="164"/>
      <c r="C58" s="164"/>
      <c r="D58" s="164"/>
      <c r="E58" s="164"/>
      <c r="F58" s="294"/>
      <c r="G58" s="305"/>
      <c r="H58" s="305"/>
      <c r="I58" s="303"/>
      <c r="J58" s="303"/>
      <c r="K58" s="303"/>
      <c r="L58" s="303"/>
      <c r="M58" s="303"/>
      <c r="N58" s="303"/>
      <c r="O58" s="303"/>
      <c r="P58" s="303"/>
      <c r="Q58" s="305"/>
      <c r="R58" s="164"/>
      <c r="S58" s="164"/>
      <c r="T58" s="164"/>
      <c r="U58" s="164"/>
      <c r="V58" s="164"/>
      <c r="W58" s="164"/>
      <c r="X58" s="164"/>
      <c r="Y58" s="164"/>
      <c r="Z58" s="164"/>
      <c r="AA58" s="164"/>
      <c r="AB58" s="164"/>
      <c r="AC58" s="164"/>
      <c r="AD58" s="164"/>
      <c r="AE58" s="164"/>
      <c r="AF58" s="164"/>
      <c r="AG58" s="164"/>
      <c r="AH58" s="290"/>
      <c r="AI58" s="290"/>
      <c r="AJ58" s="290"/>
      <c r="AK58" s="290"/>
      <c r="AL58" s="290"/>
      <c r="AM58" s="290"/>
      <c r="AN58" s="300"/>
      <c r="AO58" s="300"/>
      <c r="AP58" s="300"/>
      <c r="AQ58" s="300"/>
      <c r="AR58" s="300"/>
      <c r="AS58" s="300"/>
      <c r="AT58" s="300"/>
      <c r="AU58" s="300"/>
      <c r="AV58" s="300"/>
      <c r="AW58" s="300"/>
      <c r="AX58" s="300"/>
    </row>
    <row r="59" spans="1:50" hidden="1" x14ac:dyDescent="0.2">
      <c r="A59" s="164"/>
      <c r="B59" s="164"/>
      <c r="C59" s="164"/>
      <c r="D59" s="164"/>
      <c r="E59" s="164"/>
      <c r="F59" s="294"/>
      <c r="G59" s="305"/>
      <c r="H59" s="305"/>
      <c r="I59" s="303"/>
      <c r="J59" s="303"/>
      <c r="K59" s="303"/>
      <c r="L59" s="303"/>
      <c r="M59" s="303"/>
      <c r="N59" s="303"/>
      <c r="O59" s="303"/>
      <c r="P59" s="303"/>
      <c r="Q59" s="305"/>
      <c r="R59" s="164"/>
      <c r="S59" s="164"/>
      <c r="T59" s="164"/>
      <c r="U59" s="164"/>
      <c r="V59" s="164"/>
      <c r="W59" s="164"/>
      <c r="X59" s="164"/>
      <c r="Y59" s="164"/>
      <c r="Z59" s="164"/>
      <c r="AA59" s="164"/>
      <c r="AB59" s="164"/>
      <c r="AC59" s="164"/>
      <c r="AD59" s="164"/>
      <c r="AE59" s="164"/>
      <c r="AF59" s="164"/>
      <c r="AG59" s="164"/>
      <c r="AH59" s="290"/>
      <c r="AI59" s="290"/>
      <c r="AJ59" s="290"/>
      <c r="AK59" s="290"/>
      <c r="AL59" s="290"/>
      <c r="AM59" s="290"/>
      <c r="AN59" s="300"/>
      <c r="AO59" s="300"/>
      <c r="AP59" s="300"/>
      <c r="AQ59" s="300"/>
      <c r="AR59" s="300"/>
      <c r="AS59" s="300"/>
      <c r="AT59" s="300"/>
      <c r="AU59" s="300"/>
      <c r="AV59" s="300"/>
      <c r="AW59" s="300"/>
      <c r="AX59" s="300"/>
    </row>
    <row r="60" spans="1:50" hidden="1" x14ac:dyDescent="0.2">
      <c r="A60" s="164"/>
      <c r="B60" s="164"/>
      <c r="C60" s="164"/>
      <c r="D60" s="164"/>
      <c r="E60" s="164"/>
      <c r="F60" s="164"/>
      <c r="G60" s="164"/>
      <c r="H60" s="164"/>
      <c r="I60" s="164"/>
      <c r="J60" s="164"/>
      <c r="K60" s="292"/>
      <c r="L60" s="292"/>
      <c r="M60" s="292"/>
      <c r="N60" s="292"/>
      <c r="O60" s="292"/>
      <c r="P60" s="292"/>
      <c r="Q60" s="280"/>
      <c r="R60" s="164"/>
      <c r="S60" s="164"/>
      <c r="T60" s="164"/>
      <c r="U60" s="164"/>
      <c r="V60" s="164"/>
      <c r="W60" s="164"/>
      <c r="X60" s="164"/>
      <c r="Y60" s="164"/>
      <c r="Z60" s="164"/>
      <c r="AA60" s="164"/>
      <c r="AB60" s="164"/>
      <c r="AC60" s="164"/>
      <c r="AD60" s="164"/>
      <c r="AE60" s="164"/>
      <c r="AF60" s="164"/>
      <c r="AG60" s="164"/>
      <c r="AH60" s="290"/>
      <c r="AI60" s="290"/>
      <c r="AJ60" s="290"/>
      <c r="AK60" s="290"/>
      <c r="AL60" s="290"/>
      <c r="AM60" s="290"/>
      <c r="AN60" s="300"/>
      <c r="AO60" s="300"/>
      <c r="AP60" s="300"/>
      <c r="AQ60" s="300"/>
      <c r="AR60" s="300"/>
      <c r="AS60" s="300"/>
      <c r="AT60" s="300"/>
      <c r="AU60" s="300"/>
      <c r="AV60" s="300"/>
      <c r="AW60" s="300"/>
      <c r="AX60" s="300"/>
    </row>
    <row r="61" spans="1:50" hidden="1" x14ac:dyDescent="0.2">
      <c r="A61" s="164"/>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290"/>
      <c r="AI61" s="290"/>
      <c r="AJ61" s="290"/>
      <c r="AK61" s="290"/>
      <c r="AL61" s="290"/>
      <c r="AM61" s="290"/>
      <c r="AN61" s="300"/>
      <c r="AO61" s="300"/>
      <c r="AP61" s="300"/>
      <c r="AQ61" s="300"/>
      <c r="AR61" s="300"/>
      <c r="AS61" s="300"/>
      <c r="AT61" s="300"/>
      <c r="AU61" s="300"/>
      <c r="AV61" s="300"/>
      <c r="AW61" s="300"/>
      <c r="AX61" s="300"/>
    </row>
    <row r="62" spans="1:50" hidden="1" x14ac:dyDescent="0.2">
      <c r="A62" s="164"/>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290"/>
      <c r="AI62" s="290"/>
      <c r="AJ62" s="290"/>
      <c r="AK62" s="290"/>
      <c r="AL62" s="290"/>
      <c r="AM62" s="290"/>
      <c r="AN62" s="300"/>
      <c r="AO62" s="300"/>
      <c r="AP62" s="300"/>
      <c r="AQ62" s="300"/>
      <c r="AR62" s="300"/>
      <c r="AS62" s="300"/>
      <c r="AT62" s="300"/>
      <c r="AU62" s="300"/>
      <c r="AV62" s="300"/>
      <c r="AW62" s="300"/>
      <c r="AX62" s="300"/>
    </row>
    <row r="63" spans="1:50" hidden="1" x14ac:dyDescent="0.2">
      <c r="A63" s="164"/>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290"/>
      <c r="AI63" s="290"/>
      <c r="AJ63" s="290"/>
      <c r="AK63" s="290"/>
      <c r="AL63" s="290"/>
      <c r="AM63" s="290"/>
      <c r="AN63" s="300"/>
      <c r="AO63" s="300"/>
      <c r="AP63" s="300"/>
      <c r="AQ63" s="300"/>
      <c r="AR63" s="300"/>
      <c r="AS63" s="300"/>
      <c r="AT63" s="300"/>
      <c r="AU63" s="300"/>
      <c r="AV63" s="300"/>
      <c r="AW63" s="300"/>
      <c r="AX63" s="300"/>
    </row>
    <row r="64" spans="1:50" hidden="1" x14ac:dyDescent="0.2">
      <c r="A64" s="164"/>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290"/>
      <c r="AI64" s="290"/>
      <c r="AJ64" s="290"/>
      <c r="AK64" s="290"/>
      <c r="AL64" s="290"/>
      <c r="AM64" s="290"/>
      <c r="AN64" s="300"/>
      <c r="AO64" s="300"/>
      <c r="AP64" s="300"/>
      <c r="AQ64" s="300"/>
      <c r="AR64" s="300"/>
      <c r="AS64" s="300"/>
      <c r="AT64" s="300"/>
      <c r="AU64" s="300"/>
      <c r="AV64" s="300"/>
      <c r="AW64" s="300"/>
      <c r="AX64" s="300"/>
    </row>
    <row r="65" spans="1:50" hidden="1" x14ac:dyDescent="0.2">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290"/>
      <c r="AI65" s="290"/>
      <c r="AJ65" s="290"/>
      <c r="AK65" s="290"/>
      <c r="AL65" s="290"/>
      <c r="AM65" s="290"/>
      <c r="AN65" s="300"/>
      <c r="AO65" s="300"/>
      <c r="AP65" s="300"/>
      <c r="AQ65" s="300"/>
      <c r="AR65" s="300"/>
      <c r="AS65" s="300"/>
      <c r="AT65" s="300"/>
      <c r="AU65" s="300"/>
      <c r="AV65" s="300"/>
      <c r="AW65" s="300"/>
      <c r="AX65" s="300"/>
    </row>
    <row r="66" spans="1:50" hidden="1" x14ac:dyDescent="0.2">
      <c r="A66" s="164"/>
      <c r="B66" s="164"/>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290"/>
      <c r="AI66" s="290"/>
      <c r="AJ66" s="290"/>
      <c r="AK66" s="290"/>
      <c r="AL66" s="290"/>
      <c r="AM66" s="290"/>
      <c r="AN66" s="300"/>
      <c r="AO66" s="300"/>
      <c r="AP66" s="300"/>
      <c r="AQ66" s="300"/>
      <c r="AR66" s="300"/>
      <c r="AS66" s="300"/>
      <c r="AT66" s="300"/>
      <c r="AU66" s="300"/>
      <c r="AV66" s="300"/>
      <c r="AW66" s="300"/>
      <c r="AX66" s="300"/>
    </row>
    <row r="67" spans="1:50" hidden="1" x14ac:dyDescent="0.2">
      <c r="A67" s="164"/>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290"/>
      <c r="AI67" s="290"/>
      <c r="AJ67" s="290"/>
      <c r="AK67" s="290"/>
      <c r="AL67" s="290"/>
      <c r="AM67" s="290"/>
      <c r="AN67" s="300"/>
      <c r="AO67" s="300"/>
      <c r="AP67" s="300"/>
      <c r="AQ67" s="300"/>
      <c r="AR67" s="300"/>
      <c r="AS67" s="300"/>
      <c r="AT67" s="300"/>
      <c r="AU67" s="300"/>
      <c r="AV67" s="300"/>
      <c r="AW67" s="300"/>
      <c r="AX67" s="300"/>
    </row>
    <row r="68" spans="1:50" hidden="1" x14ac:dyDescent="0.2">
      <c r="A68" s="164"/>
      <c r="B68" s="164"/>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290"/>
      <c r="AI68" s="290"/>
      <c r="AJ68" s="290"/>
      <c r="AK68" s="290"/>
      <c r="AL68" s="290"/>
      <c r="AM68" s="290"/>
      <c r="AN68" s="300"/>
      <c r="AO68" s="300"/>
      <c r="AP68" s="300"/>
      <c r="AQ68" s="300"/>
      <c r="AR68" s="300"/>
      <c r="AS68" s="300"/>
      <c r="AT68" s="300"/>
      <c r="AU68" s="300"/>
      <c r="AV68" s="300"/>
      <c r="AW68" s="300"/>
      <c r="AX68" s="300"/>
    </row>
    <row r="69" spans="1:50" hidden="1" x14ac:dyDescent="0.2">
      <c r="A69" s="164"/>
      <c r="B69" s="164"/>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290"/>
      <c r="AI69" s="290"/>
      <c r="AJ69" s="290"/>
      <c r="AK69" s="290"/>
      <c r="AL69" s="290"/>
      <c r="AM69" s="290"/>
      <c r="AN69" s="300"/>
      <c r="AO69" s="300"/>
      <c r="AP69" s="300"/>
      <c r="AQ69" s="300"/>
      <c r="AR69" s="300"/>
      <c r="AS69" s="300"/>
      <c r="AT69" s="300"/>
      <c r="AU69" s="300"/>
      <c r="AV69" s="300"/>
      <c r="AW69" s="300"/>
      <c r="AX69" s="300"/>
    </row>
    <row r="70" spans="1:50" hidden="1" x14ac:dyDescent="0.2">
      <c r="A70" s="164"/>
      <c r="B70" s="164"/>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290"/>
      <c r="AI70" s="290"/>
      <c r="AJ70" s="290"/>
      <c r="AK70" s="290"/>
      <c r="AL70" s="290"/>
      <c r="AM70" s="290"/>
      <c r="AN70" s="300"/>
      <c r="AO70" s="300"/>
      <c r="AP70" s="300"/>
      <c r="AQ70" s="300"/>
      <c r="AR70" s="300"/>
      <c r="AS70" s="300"/>
      <c r="AT70" s="300"/>
      <c r="AU70" s="300"/>
      <c r="AV70" s="300"/>
      <c r="AW70" s="300"/>
      <c r="AX70" s="300"/>
    </row>
    <row r="71" spans="1:50" hidden="1" x14ac:dyDescent="0.2">
      <c r="A71" s="164"/>
      <c r="B71" s="164"/>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290"/>
      <c r="AI71" s="290"/>
      <c r="AJ71" s="290"/>
      <c r="AK71" s="290"/>
      <c r="AL71" s="290"/>
      <c r="AM71" s="290"/>
      <c r="AN71" s="300"/>
      <c r="AO71" s="300"/>
      <c r="AP71" s="300"/>
      <c r="AQ71" s="300"/>
      <c r="AR71" s="300"/>
      <c r="AS71" s="300"/>
      <c r="AT71" s="300"/>
      <c r="AU71" s="300"/>
      <c r="AV71" s="300"/>
      <c r="AW71" s="300"/>
      <c r="AX71" s="300"/>
    </row>
    <row r="72" spans="1:50" hidden="1" x14ac:dyDescent="0.2">
      <c r="A72" s="164"/>
      <c r="B72" s="164"/>
      <c r="C72" s="164"/>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c r="AC72" s="164"/>
      <c r="AD72" s="164"/>
      <c r="AE72" s="164"/>
      <c r="AF72" s="164"/>
      <c r="AG72" s="164"/>
      <c r="AH72" s="290"/>
      <c r="AI72" s="290"/>
      <c r="AJ72" s="290"/>
      <c r="AK72" s="290"/>
      <c r="AL72" s="290"/>
      <c r="AM72" s="290"/>
      <c r="AN72" s="300"/>
      <c r="AO72" s="300"/>
      <c r="AP72" s="300"/>
      <c r="AQ72" s="300"/>
      <c r="AR72" s="300"/>
      <c r="AS72" s="300"/>
      <c r="AT72" s="300"/>
      <c r="AU72" s="300"/>
      <c r="AV72" s="300"/>
      <c r="AW72" s="300"/>
      <c r="AX72" s="300"/>
    </row>
    <row r="73" spans="1:50" hidden="1" x14ac:dyDescent="0.2">
      <c r="A73" s="164"/>
      <c r="B73" s="164"/>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4"/>
      <c r="AC73" s="164"/>
      <c r="AD73" s="164"/>
      <c r="AE73" s="164"/>
      <c r="AF73" s="164"/>
      <c r="AG73" s="164"/>
      <c r="AH73" s="290"/>
      <c r="AI73" s="290"/>
      <c r="AJ73" s="290"/>
      <c r="AK73" s="290"/>
      <c r="AL73" s="290"/>
      <c r="AM73" s="290"/>
      <c r="AN73" s="300"/>
      <c r="AO73" s="300"/>
      <c r="AP73" s="300"/>
      <c r="AQ73" s="300"/>
      <c r="AR73" s="300"/>
      <c r="AS73" s="300"/>
      <c r="AT73" s="300"/>
      <c r="AU73" s="300"/>
      <c r="AV73" s="300"/>
      <c r="AW73" s="300"/>
      <c r="AX73" s="300"/>
    </row>
    <row r="74" spans="1:50" hidden="1" x14ac:dyDescent="0.2">
      <c r="A74" s="164"/>
      <c r="B74" s="164"/>
      <c r="C74" s="164"/>
      <c r="D74" s="164"/>
      <c r="E74" s="164"/>
      <c r="F74" s="164"/>
      <c r="G74" s="164"/>
      <c r="H74" s="164"/>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290"/>
      <c r="AI74" s="290"/>
      <c r="AJ74" s="290"/>
      <c r="AK74" s="290"/>
      <c r="AL74" s="290"/>
      <c r="AM74" s="290"/>
      <c r="AN74" s="300"/>
      <c r="AO74" s="300"/>
      <c r="AP74" s="300"/>
      <c r="AQ74" s="300"/>
      <c r="AR74" s="300"/>
      <c r="AS74" s="300"/>
      <c r="AT74" s="300"/>
      <c r="AU74" s="300"/>
      <c r="AV74" s="300"/>
      <c r="AW74" s="300"/>
      <c r="AX74" s="300"/>
    </row>
    <row r="75" spans="1:50" hidden="1" x14ac:dyDescent="0.2">
      <c r="A75" s="164"/>
      <c r="B75" s="164"/>
      <c r="C75" s="164"/>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c r="AB75" s="164"/>
      <c r="AC75" s="164"/>
      <c r="AD75" s="164"/>
      <c r="AE75" s="164"/>
      <c r="AF75" s="164"/>
      <c r="AG75" s="164"/>
      <c r="AH75" s="290"/>
      <c r="AI75" s="290"/>
      <c r="AJ75" s="290"/>
      <c r="AK75" s="290"/>
      <c r="AL75" s="290"/>
      <c r="AM75" s="290"/>
      <c r="AN75" s="300"/>
      <c r="AO75" s="300"/>
      <c r="AP75" s="300"/>
      <c r="AQ75" s="300"/>
      <c r="AR75" s="300"/>
      <c r="AS75" s="300"/>
      <c r="AT75" s="300"/>
      <c r="AU75" s="300"/>
      <c r="AV75" s="300"/>
      <c r="AW75" s="300"/>
      <c r="AX75" s="300"/>
    </row>
    <row r="76" spans="1:50" hidden="1" x14ac:dyDescent="0.2">
      <c r="A76" s="164"/>
      <c r="B76" s="164"/>
      <c r="C76" s="164"/>
      <c r="D76" s="164"/>
      <c r="E76" s="164"/>
      <c r="F76" s="164"/>
      <c r="G76" s="164"/>
      <c r="H76" s="164"/>
      <c r="I76" s="164"/>
      <c r="J76" s="164"/>
      <c r="K76" s="164"/>
      <c r="L76" s="164"/>
      <c r="M76" s="164"/>
      <c r="N76" s="164"/>
      <c r="O76" s="164"/>
      <c r="P76" s="164"/>
      <c r="Q76" s="164"/>
      <c r="R76" s="164"/>
      <c r="S76" s="164"/>
      <c r="T76" s="164"/>
      <c r="U76" s="164"/>
      <c r="V76" s="164"/>
      <c r="W76" s="164"/>
      <c r="X76" s="164"/>
      <c r="Y76" s="164"/>
      <c r="Z76" s="164"/>
      <c r="AA76" s="164"/>
      <c r="AB76" s="164"/>
      <c r="AC76" s="164"/>
      <c r="AD76" s="164"/>
      <c r="AE76" s="164"/>
      <c r="AF76" s="164"/>
      <c r="AG76" s="164"/>
      <c r="AH76" s="290"/>
      <c r="AI76" s="290"/>
      <c r="AJ76" s="290"/>
      <c r="AK76" s="290"/>
      <c r="AL76" s="290"/>
      <c r="AM76" s="290"/>
      <c r="AN76" s="300"/>
      <c r="AO76" s="300"/>
      <c r="AP76" s="300"/>
      <c r="AQ76" s="300"/>
      <c r="AR76" s="300"/>
      <c r="AS76" s="300"/>
      <c r="AT76" s="300"/>
      <c r="AU76" s="300"/>
      <c r="AV76" s="300"/>
      <c r="AW76" s="300"/>
      <c r="AX76" s="300"/>
    </row>
    <row r="77" spans="1:50" hidden="1" x14ac:dyDescent="0.2">
      <c r="A77" s="164"/>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c r="AE77" s="164"/>
      <c r="AF77" s="164"/>
      <c r="AG77" s="164"/>
      <c r="AH77" s="290"/>
      <c r="AI77" s="290"/>
      <c r="AJ77" s="290"/>
      <c r="AK77" s="290"/>
      <c r="AL77" s="290"/>
      <c r="AM77" s="290"/>
      <c r="AN77" s="300"/>
      <c r="AO77" s="300"/>
      <c r="AP77" s="300"/>
      <c r="AQ77" s="300"/>
      <c r="AR77" s="300"/>
      <c r="AS77" s="300"/>
      <c r="AT77" s="300"/>
      <c r="AU77" s="300"/>
      <c r="AV77" s="300"/>
      <c r="AW77" s="300"/>
      <c r="AX77" s="300"/>
    </row>
    <row r="78" spans="1:50" hidden="1" x14ac:dyDescent="0.2">
      <c r="A78" s="164"/>
      <c r="B78" s="164"/>
      <c r="C78" s="164"/>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c r="AD78" s="164"/>
      <c r="AE78" s="164"/>
      <c r="AF78" s="164"/>
      <c r="AG78" s="164"/>
      <c r="AH78" s="290"/>
      <c r="AI78" s="290"/>
      <c r="AJ78" s="290"/>
      <c r="AK78" s="290"/>
      <c r="AL78" s="290"/>
      <c r="AM78" s="290"/>
      <c r="AN78" s="300"/>
      <c r="AO78" s="300"/>
      <c r="AP78" s="300"/>
      <c r="AQ78" s="300"/>
      <c r="AR78" s="300"/>
      <c r="AS78" s="300"/>
      <c r="AT78" s="300"/>
      <c r="AU78" s="300"/>
      <c r="AV78" s="300"/>
      <c r="AW78" s="300"/>
      <c r="AX78" s="300"/>
    </row>
    <row r="79" spans="1:50" hidden="1" x14ac:dyDescent="0.2">
      <c r="A79" s="164"/>
      <c r="B79" s="164"/>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290"/>
      <c r="AI79" s="290"/>
      <c r="AJ79" s="290"/>
      <c r="AK79" s="290"/>
      <c r="AL79" s="290"/>
      <c r="AM79" s="290"/>
      <c r="AN79" s="300"/>
      <c r="AO79" s="300"/>
      <c r="AP79" s="300"/>
      <c r="AQ79" s="300"/>
      <c r="AR79" s="300"/>
      <c r="AS79" s="300"/>
      <c r="AT79" s="300"/>
      <c r="AU79" s="300"/>
      <c r="AV79" s="300"/>
      <c r="AW79" s="300"/>
      <c r="AX79" s="300"/>
    </row>
    <row r="80" spans="1:50" hidden="1" x14ac:dyDescent="0.2">
      <c r="A80" s="164"/>
      <c r="B80" s="164"/>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c r="AE80" s="164"/>
      <c r="AF80" s="164"/>
      <c r="AG80" s="164"/>
      <c r="AH80" s="290"/>
      <c r="AI80" s="290"/>
      <c r="AJ80" s="290"/>
      <c r="AK80" s="290"/>
      <c r="AL80" s="290"/>
      <c r="AM80" s="290"/>
      <c r="AN80" s="300"/>
      <c r="AO80" s="300"/>
      <c r="AP80" s="300"/>
      <c r="AQ80" s="300"/>
      <c r="AR80" s="300"/>
      <c r="AS80" s="300"/>
      <c r="AT80" s="300"/>
      <c r="AU80" s="300"/>
      <c r="AV80" s="300"/>
      <c r="AW80" s="300"/>
      <c r="AX80" s="300"/>
    </row>
    <row r="81" spans="1:50" hidden="1" x14ac:dyDescent="0.2">
      <c r="A81" s="164"/>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290"/>
      <c r="AI81" s="290"/>
      <c r="AJ81" s="290"/>
      <c r="AK81" s="290"/>
      <c r="AL81" s="290"/>
      <c r="AM81" s="290"/>
      <c r="AN81" s="300"/>
      <c r="AO81" s="300"/>
      <c r="AP81" s="300"/>
      <c r="AQ81" s="300"/>
      <c r="AR81" s="300"/>
      <c r="AS81" s="300"/>
      <c r="AT81" s="300"/>
      <c r="AU81" s="300"/>
      <c r="AV81" s="300"/>
      <c r="AW81" s="300"/>
      <c r="AX81" s="300"/>
    </row>
    <row r="82" spans="1:50" hidden="1" x14ac:dyDescent="0.2">
      <c r="A82" s="164"/>
      <c r="B82" s="164"/>
      <c r="C82" s="164"/>
      <c r="D82" s="164"/>
      <c r="E82" s="164"/>
      <c r="F82" s="164"/>
      <c r="G82" s="164"/>
      <c r="H82" s="164"/>
      <c r="I82" s="164"/>
      <c r="J82" s="164"/>
      <c r="K82" s="164"/>
      <c r="L82" s="164"/>
      <c r="M82" s="164"/>
      <c r="N82" s="164"/>
      <c r="O82" s="164"/>
      <c r="P82" s="164"/>
      <c r="Q82" s="164"/>
      <c r="R82" s="164"/>
      <c r="S82" s="164"/>
      <c r="T82" s="164"/>
      <c r="U82" s="164"/>
      <c r="V82" s="164"/>
      <c r="W82" s="164"/>
      <c r="X82" s="164"/>
      <c r="Y82" s="164"/>
      <c r="Z82" s="164"/>
      <c r="AA82" s="164"/>
      <c r="AB82" s="164"/>
      <c r="AC82" s="164"/>
      <c r="AD82" s="164"/>
      <c r="AE82" s="164"/>
      <c r="AF82" s="164"/>
      <c r="AG82" s="164"/>
      <c r="AH82" s="290"/>
      <c r="AI82" s="290"/>
      <c r="AJ82" s="290"/>
      <c r="AK82" s="290"/>
      <c r="AL82" s="290"/>
      <c r="AM82" s="290"/>
      <c r="AN82" s="300"/>
      <c r="AO82" s="300"/>
      <c r="AP82" s="300"/>
      <c r="AQ82" s="300"/>
      <c r="AR82" s="300"/>
      <c r="AS82" s="300"/>
      <c r="AT82" s="300"/>
      <c r="AU82" s="300"/>
      <c r="AV82" s="300"/>
      <c r="AW82" s="300"/>
      <c r="AX82" s="300"/>
    </row>
    <row r="83" spans="1:50" hidden="1" x14ac:dyDescent="0.2">
      <c r="A83" s="164"/>
      <c r="B83" s="164"/>
      <c r="C83" s="164"/>
      <c r="D83" s="164"/>
      <c r="E83" s="164"/>
      <c r="F83" s="164"/>
      <c r="G83" s="164"/>
      <c r="H83" s="164"/>
      <c r="I83" s="164"/>
      <c r="J83" s="164"/>
      <c r="K83" s="164"/>
      <c r="L83" s="164"/>
      <c r="M83" s="164"/>
      <c r="N83" s="164"/>
      <c r="O83" s="164"/>
      <c r="P83" s="164"/>
      <c r="Q83" s="164"/>
      <c r="R83" s="164"/>
      <c r="S83" s="164"/>
      <c r="T83" s="164"/>
      <c r="U83" s="164"/>
      <c r="V83" s="164"/>
      <c r="W83" s="164"/>
      <c r="X83" s="164"/>
      <c r="Y83" s="164"/>
      <c r="Z83" s="164"/>
      <c r="AA83" s="164"/>
      <c r="AB83" s="164"/>
      <c r="AC83" s="164"/>
      <c r="AD83" s="164"/>
      <c r="AE83" s="164"/>
      <c r="AF83" s="164"/>
      <c r="AG83" s="164"/>
      <c r="AH83" s="290"/>
      <c r="AI83" s="290"/>
      <c r="AJ83" s="290"/>
      <c r="AK83" s="290"/>
      <c r="AL83" s="290"/>
      <c r="AM83" s="290"/>
      <c r="AN83" s="300"/>
      <c r="AO83" s="300"/>
      <c r="AP83" s="300"/>
      <c r="AQ83" s="300"/>
      <c r="AR83" s="300"/>
      <c r="AS83" s="300"/>
      <c r="AT83" s="300"/>
      <c r="AU83" s="300"/>
      <c r="AV83" s="300"/>
      <c r="AW83" s="300"/>
      <c r="AX83" s="300"/>
    </row>
    <row r="84" spans="1:50" hidden="1" x14ac:dyDescent="0.2">
      <c r="A84" s="164"/>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164"/>
      <c r="AE84" s="164"/>
      <c r="AF84" s="164"/>
      <c r="AG84" s="164"/>
      <c r="AH84" s="290"/>
      <c r="AI84" s="290"/>
      <c r="AJ84" s="290"/>
      <c r="AK84" s="290"/>
      <c r="AL84" s="290"/>
      <c r="AM84" s="290"/>
      <c r="AN84" s="300"/>
      <c r="AO84" s="300"/>
      <c r="AP84" s="300"/>
      <c r="AQ84" s="300"/>
      <c r="AR84" s="300"/>
      <c r="AS84" s="300"/>
      <c r="AT84" s="300"/>
      <c r="AU84" s="300"/>
      <c r="AV84" s="300"/>
      <c r="AW84" s="300"/>
      <c r="AX84" s="300"/>
    </row>
    <row r="85" spans="1:50" hidden="1" x14ac:dyDescent="0.2">
      <c r="A85" s="164"/>
      <c r="B85" s="164"/>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290"/>
      <c r="AI85" s="290"/>
      <c r="AJ85" s="290"/>
      <c r="AK85" s="290"/>
      <c r="AL85" s="290"/>
      <c r="AM85" s="290"/>
      <c r="AN85" s="300"/>
      <c r="AO85" s="300"/>
      <c r="AP85" s="300"/>
      <c r="AQ85" s="300"/>
      <c r="AR85" s="300"/>
      <c r="AS85" s="300"/>
      <c r="AT85" s="300"/>
      <c r="AU85" s="300"/>
      <c r="AV85" s="300"/>
      <c r="AW85" s="300"/>
      <c r="AX85" s="300"/>
    </row>
    <row r="86" spans="1:50" hidden="1" x14ac:dyDescent="0.2">
      <c r="A86" s="164"/>
      <c r="B86" s="164"/>
      <c r="C86" s="164"/>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c r="AG86" s="164"/>
      <c r="AH86" s="290"/>
      <c r="AI86" s="290"/>
      <c r="AJ86" s="290"/>
      <c r="AK86" s="290"/>
      <c r="AL86" s="290"/>
      <c r="AM86" s="290"/>
      <c r="AN86" s="300"/>
      <c r="AO86" s="300"/>
      <c r="AP86" s="300"/>
      <c r="AQ86" s="300"/>
      <c r="AR86" s="300"/>
      <c r="AS86" s="300"/>
      <c r="AT86" s="300"/>
      <c r="AU86" s="300"/>
      <c r="AV86" s="300"/>
      <c r="AW86" s="300"/>
      <c r="AX86" s="300"/>
    </row>
    <row r="87" spans="1:50" hidden="1" x14ac:dyDescent="0.2">
      <c r="A87" s="164"/>
      <c r="B87" s="164"/>
      <c r="C87" s="164"/>
      <c r="D87" s="164"/>
      <c r="E87" s="164"/>
      <c r="F87" s="164"/>
      <c r="G87" s="164"/>
      <c r="H87" s="164"/>
      <c r="I87" s="164"/>
      <c r="J87" s="164"/>
      <c r="K87" s="164"/>
      <c r="L87" s="164"/>
      <c r="M87" s="164"/>
      <c r="N87" s="164"/>
      <c r="O87" s="164"/>
      <c r="P87" s="164"/>
      <c r="Q87" s="164"/>
      <c r="R87" s="164"/>
      <c r="S87" s="164"/>
      <c r="T87" s="164"/>
      <c r="U87" s="164"/>
      <c r="V87" s="164"/>
      <c r="W87" s="164"/>
      <c r="X87" s="164"/>
      <c r="Y87" s="164"/>
      <c r="Z87" s="164"/>
      <c r="AA87" s="164"/>
      <c r="AB87" s="164"/>
      <c r="AC87" s="164"/>
      <c r="AD87" s="164"/>
      <c r="AE87" s="164"/>
      <c r="AF87" s="164"/>
      <c r="AG87" s="164"/>
      <c r="AH87" s="290"/>
      <c r="AI87" s="290"/>
      <c r="AJ87" s="290"/>
      <c r="AK87" s="290"/>
      <c r="AL87" s="290"/>
      <c r="AM87" s="290"/>
      <c r="AN87" s="300"/>
      <c r="AO87" s="300"/>
      <c r="AP87" s="300"/>
      <c r="AQ87" s="300"/>
      <c r="AR87" s="300"/>
      <c r="AS87" s="300"/>
      <c r="AT87" s="300"/>
      <c r="AU87" s="300"/>
      <c r="AV87" s="300"/>
      <c r="AW87" s="300"/>
      <c r="AX87" s="300"/>
    </row>
    <row r="88" spans="1:50" hidden="1" x14ac:dyDescent="0.2">
      <c r="A88" s="164"/>
      <c r="B88" s="164"/>
      <c r="C88" s="164"/>
      <c r="D88" s="164"/>
      <c r="E88" s="164"/>
      <c r="F88" s="164"/>
      <c r="G88" s="164"/>
      <c r="H88" s="164"/>
      <c r="I88" s="164"/>
      <c r="J88" s="164"/>
      <c r="K88" s="164"/>
      <c r="L88" s="164"/>
      <c r="M88" s="164"/>
      <c r="N88" s="164"/>
      <c r="O88" s="164"/>
      <c r="P88" s="164"/>
      <c r="Q88" s="164"/>
      <c r="R88" s="164"/>
      <c r="S88" s="164"/>
      <c r="T88" s="164"/>
      <c r="U88" s="164"/>
      <c r="V88" s="164"/>
      <c r="W88" s="164"/>
      <c r="X88" s="164"/>
      <c r="Y88" s="164"/>
      <c r="Z88" s="164"/>
      <c r="AA88" s="164"/>
      <c r="AB88" s="164"/>
      <c r="AC88" s="164"/>
      <c r="AD88" s="164"/>
      <c r="AE88" s="164"/>
      <c r="AF88" s="164"/>
      <c r="AG88" s="164"/>
      <c r="AH88" s="290"/>
      <c r="AI88" s="290"/>
      <c r="AJ88" s="290"/>
      <c r="AK88" s="290"/>
      <c r="AL88" s="290"/>
      <c r="AM88" s="290"/>
      <c r="AN88" s="300"/>
      <c r="AO88" s="300"/>
      <c r="AP88" s="300"/>
      <c r="AQ88" s="300"/>
      <c r="AR88" s="300"/>
      <c r="AS88" s="300"/>
      <c r="AT88" s="300"/>
      <c r="AU88" s="300"/>
      <c r="AV88" s="300"/>
      <c r="AW88" s="300"/>
      <c r="AX88" s="300"/>
    </row>
    <row r="89" spans="1:50" hidden="1" x14ac:dyDescent="0.2">
      <c r="A89" s="164"/>
      <c r="B89" s="164"/>
      <c r="C89" s="164"/>
      <c r="D89" s="164"/>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c r="AE89" s="164"/>
      <c r="AF89" s="164"/>
      <c r="AG89" s="164"/>
      <c r="AH89" s="290"/>
      <c r="AI89" s="290"/>
      <c r="AJ89" s="290"/>
      <c r="AK89" s="290"/>
      <c r="AL89" s="155"/>
      <c r="AM89" s="155"/>
    </row>
    <row r="90" spans="1:50" hidden="1" x14ac:dyDescent="0.2">
      <c r="A90" s="164"/>
      <c r="B90" s="164"/>
      <c r="C90" s="164"/>
      <c r="D90" s="164"/>
      <c r="E90" s="164"/>
      <c r="F90" s="164"/>
      <c r="G90" s="164"/>
      <c r="H90" s="164"/>
      <c r="I90" s="164"/>
      <c r="J90" s="164"/>
      <c r="K90" s="164"/>
      <c r="L90" s="164"/>
      <c r="M90" s="164"/>
      <c r="N90" s="164"/>
      <c r="O90" s="164"/>
      <c r="P90" s="164"/>
      <c r="Q90" s="164"/>
      <c r="R90" s="164"/>
      <c r="S90" s="164"/>
      <c r="T90" s="164"/>
      <c r="U90" s="164"/>
      <c r="V90" s="164"/>
      <c r="W90" s="164"/>
      <c r="X90" s="164"/>
      <c r="Y90" s="164"/>
      <c r="Z90" s="164"/>
      <c r="AA90" s="164"/>
      <c r="AB90" s="164"/>
      <c r="AC90" s="164"/>
      <c r="AD90" s="164"/>
      <c r="AE90" s="164"/>
      <c r="AF90" s="164"/>
      <c r="AG90" s="164"/>
      <c r="AH90" s="290"/>
      <c r="AI90" s="290"/>
      <c r="AJ90" s="290"/>
      <c r="AK90" s="290"/>
      <c r="AL90" s="155"/>
      <c r="AM90" s="155"/>
    </row>
    <row r="91" spans="1:50" hidden="1" x14ac:dyDescent="0.2">
      <c r="A91" s="290"/>
      <c r="B91" s="290"/>
      <c r="C91" s="290"/>
      <c r="D91" s="290"/>
      <c r="E91" s="290"/>
      <c r="F91" s="290"/>
      <c r="G91" s="290"/>
      <c r="H91" s="290"/>
      <c r="I91" s="290"/>
      <c r="J91" s="290"/>
      <c r="K91" s="290"/>
      <c r="L91" s="290"/>
      <c r="M91" s="290"/>
      <c r="N91" s="290"/>
      <c r="O91" s="290"/>
      <c r="P91" s="290"/>
      <c r="Q91" s="290"/>
      <c r="R91" s="290"/>
      <c r="S91" s="290"/>
      <c r="T91" s="290"/>
      <c r="U91" s="290"/>
      <c r="V91" s="290"/>
      <c r="W91" s="290"/>
      <c r="X91" s="290"/>
      <c r="Y91" s="290"/>
      <c r="Z91" s="290"/>
      <c r="AA91" s="290"/>
      <c r="AB91" s="290"/>
      <c r="AC91" s="290"/>
      <c r="AD91" s="290"/>
      <c r="AE91" s="290"/>
      <c r="AF91" s="290"/>
      <c r="AG91" s="290"/>
      <c r="AH91" s="300"/>
      <c r="AI91" s="300"/>
      <c r="AJ91" s="300"/>
      <c r="AK91" s="300"/>
    </row>
    <row r="92" spans="1:50" hidden="1" x14ac:dyDescent="0.2">
      <c r="AC92" s="300"/>
      <c r="AD92" s="300"/>
      <c r="AE92" s="300"/>
      <c r="AF92" s="300"/>
      <c r="AG92" s="300"/>
      <c r="AH92" s="300"/>
      <c r="AI92" s="300"/>
      <c r="AJ92" s="300"/>
      <c r="AK92" s="300"/>
    </row>
    <row r="93" spans="1:50" hidden="1" x14ac:dyDescent="0.2">
      <c r="AC93" s="300"/>
      <c r="AD93" s="300"/>
      <c r="AE93" s="300"/>
      <c r="AF93" s="300"/>
      <c r="AG93" s="300"/>
      <c r="AH93" s="300"/>
      <c r="AI93" s="300"/>
      <c r="AJ93" s="300"/>
      <c r="AK93" s="300"/>
    </row>
    <row r="94" spans="1:50" hidden="1" x14ac:dyDescent="0.2"/>
  </sheetData>
  <sheetProtection password="CC01" sheet="1" objects="1" scenarios="1" selectLockedCells="1"/>
  <mergeCells count="215">
    <mergeCell ref="A7:D7"/>
    <mergeCell ref="A6:C6"/>
    <mergeCell ref="B5:D5"/>
    <mergeCell ref="G5:I5"/>
    <mergeCell ref="M5:O5"/>
    <mergeCell ref="R5:T5"/>
    <mergeCell ref="X5:Z5"/>
    <mergeCell ref="H16:H25"/>
    <mergeCell ref="F12:I12"/>
    <mergeCell ref="A12:D12"/>
    <mergeCell ref="F14:I14"/>
    <mergeCell ref="F15:I15"/>
    <mergeCell ref="N16:N25"/>
    <mergeCell ref="Q12:T12"/>
    <mergeCell ref="W12:Z12"/>
    <mergeCell ref="W14:Z14"/>
    <mergeCell ref="W15:Z15"/>
    <mergeCell ref="Q14:T14"/>
    <mergeCell ref="Q15:T15"/>
    <mergeCell ref="R10:S10"/>
    <mergeCell ref="R11:S11"/>
    <mergeCell ref="Z9:Z11"/>
    <mergeCell ref="Q8:S8"/>
    <mergeCell ref="R9:S9"/>
    <mergeCell ref="F4:I4"/>
    <mergeCell ref="L4:O4"/>
    <mergeCell ref="L12:O12"/>
    <mergeCell ref="A15:D15"/>
    <mergeCell ref="L14:O14"/>
    <mergeCell ref="L15:O15"/>
    <mergeCell ref="B9:C9"/>
    <mergeCell ref="B10:C10"/>
    <mergeCell ref="A8:C8"/>
    <mergeCell ref="D9:D11"/>
    <mergeCell ref="B11:C11"/>
    <mergeCell ref="F6:H6"/>
    <mergeCell ref="G9:H9"/>
    <mergeCell ref="G10:H10"/>
    <mergeCell ref="G11:H11"/>
    <mergeCell ref="I9:I11"/>
    <mergeCell ref="L8:N8"/>
    <mergeCell ref="A14:D14"/>
    <mergeCell ref="A4:D4"/>
    <mergeCell ref="J4:K4"/>
    <mergeCell ref="M11:N11"/>
    <mergeCell ref="O9:O11"/>
    <mergeCell ref="M9:N9"/>
    <mergeCell ref="M10:N10"/>
    <mergeCell ref="X1:Z1"/>
    <mergeCell ref="G1:J1"/>
    <mergeCell ref="N1:P1"/>
    <mergeCell ref="B1:F1"/>
    <mergeCell ref="F2:K2"/>
    <mergeCell ref="L2:P2"/>
    <mergeCell ref="Q2:V2"/>
    <mergeCell ref="X3:Z3"/>
    <mergeCell ref="D3:E3"/>
    <mergeCell ref="B3:C3"/>
    <mergeCell ref="G3:J3"/>
    <mergeCell ref="N3:P3"/>
    <mergeCell ref="R1:V1"/>
    <mergeCell ref="R3:V3"/>
    <mergeCell ref="A2:E2"/>
    <mergeCell ref="X2:Z2"/>
    <mergeCell ref="Q4:T4"/>
    <mergeCell ref="F7:I7"/>
    <mergeCell ref="F8:H8"/>
    <mergeCell ref="L7:O7"/>
    <mergeCell ref="L6:N6"/>
    <mergeCell ref="Q7:T7"/>
    <mergeCell ref="Q6:S6"/>
    <mergeCell ref="Y16:Y25"/>
    <mergeCell ref="W37:W38"/>
    <mergeCell ref="L29:O29"/>
    <mergeCell ref="L31:L32"/>
    <mergeCell ref="L34:L35"/>
    <mergeCell ref="M34:M35"/>
    <mergeCell ref="L30:M30"/>
    <mergeCell ref="L27:N27"/>
    <mergeCell ref="Q29:T29"/>
    <mergeCell ref="Q30:R30"/>
    <mergeCell ref="Q37:Q38"/>
    <mergeCell ref="I31:I32"/>
    <mergeCell ref="T9:T11"/>
    <mergeCell ref="S16:S25"/>
    <mergeCell ref="R26:S26"/>
    <mergeCell ref="Q27:S27"/>
    <mergeCell ref="Q28:T28"/>
    <mergeCell ref="W39:Y39"/>
    <mergeCell ref="Z31:Z32"/>
    <mergeCell ref="W34:W35"/>
    <mergeCell ref="X34:X35"/>
    <mergeCell ref="W4:Z4"/>
    <mergeCell ref="W31:W32"/>
    <mergeCell ref="X31:X32"/>
    <mergeCell ref="X37:X38"/>
    <mergeCell ref="W7:Z7"/>
    <mergeCell ref="W6:Y6"/>
    <mergeCell ref="W29:Z29"/>
    <mergeCell ref="W8:Y8"/>
    <mergeCell ref="X9:Y9"/>
    <mergeCell ref="X10:Y10"/>
    <mergeCell ref="X11:Y11"/>
    <mergeCell ref="F48:F49"/>
    <mergeCell ref="B50:C51"/>
    <mergeCell ref="D48:D49"/>
    <mergeCell ref="F37:F38"/>
    <mergeCell ref="F50:F51"/>
    <mergeCell ref="C42:C43"/>
    <mergeCell ref="F40:I40"/>
    <mergeCell ref="D42:D43"/>
    <mergeCell ref="G42:G43"/>
    <mergeCell ref="H42:H43"/>
    <mergeCell ref="A40:D40"/>
    <mergeCell ref="B42:B43"/>
    <mergeCell ref="A42:A43"/>
    <mergeCell ref="D50:D51"/>
    <mergeCell ref="A46:D47"/>
    <mergeCell ref="A44:C44"/>
    <mergeCell ref="A50:A51"/>
    <mergeCell ref="A48:A49"/>
    <mergeCell ref="B48:C49"/>
    <mergeCell ref="A39:C39"/>
    <mergeCell ref="A37:A38"/>
    <mergeCell ref="B37:B38"/>
    <mergeCell ref="L39:N39"/>
    <mergeCell ref="G50:H51"/>
    <mergeCell ref="G37:G38"/>
    <mergeCell ref="N42:N43"/>
    <mergeCell ref="L50:L51"/>
    <mergeCell ref="M50:N51"/>
    <mergeCell ref="L40:O40"/>
    <mergeCell ref="M37:M38"/>
    <mergeCell ref="L44:N44"/>
    <mergeCell ref="L46:O47"/>
    <mergeCell ref="L48:L49"/>
    <mergeCell ref="M48:N49"/>
    <mergeCell ref="I48:I49"/>
    <mergeCell ref="F46:I47"/>
    <mergeCell ref="O48:O49"/>
    <mergeCell ref="L42:L43"/>
    <mergeCell ref="M42:M43"/>
    <mergeCell ref="L37:L38"/>
    <mergeCell ref="I50:I51"/>
    <mergeCell ref="G48:H49"/>
    <mergeCell ref="F44:H44"/>
    <mergeCell ref="F42:F43"/>
    <mergeCell ref="F39:H39"/>
    <mergeCell ref="O50:O51"/>
    <mergeCell ref="A27:C27"/>
    <mergeCell ref="C16:C25"/>
    <mergeCell ref="G31:G32"/>
    <mergeCell ref="H30:H38"/>
    <mergeCell ref="G34:G35"/>
    <mergeCell ref="A28:D28"/>
    <mergeCell ref="C30:C38"/>
    <mergeCell ref="F30:G30"/>
    <mergeCell ref="F31:F32"/>
    <mergeCell ref="B26:C26"/>
    <mergeCell ref="G26:H26"/>
    <mergeCell ref="A29:D29"/>
    <mergeCell ref="A30:B30"/>
    <mergeCell ref="F28:I28"/>
    <mergeCell ref="F34:F35"/>
    <mergeCell ref="F29:I29"/>
    <mergeCell ref="F27:H27"/>
    <mergeCell ref="A31:A32"/>
    <mergeCell ref="D34:D35"/>
    <mergeCell ref="A34:A35"/>
    <mergeCell ref="D37:D38"/>
    <mergeCell ref="D31:D32"/>
    <mergeCell ref="B34:B35"/>
    <mergeCell ref="B31:B32"/>
    <mergeCell ref="Q50:Q51"/>
    <mergeCell ref="R50:S51"/>
    <mergeCell ref="T50:T51"/>
    <mergeCell ref="Q42:Q43"/>
    <mergeCell ref="Q40:T40"/>
    <mergeCell ref="R42:R43"/>
    <mergeCell ref="S42:S43"/>
    <mergeCell ref="Q44:S44"/>
    <mergeCell ref="R37:R38"/>
    <mergeCell ref="Q46:T47"/>
    <mergeCell ref="Q48:Q49"/>
    <mergeCell ref="R48:S49"/>
    <mergeCell ref="T48:T49"/>
    <mergeCell ref="Q39:S39"/>
    <mergeCell ref="S30:S38"/>
    <mergeCell ref="Q31:Q32"/>
    <mergeCell ref="R31:R32"/>
    <mergeCell ref="T31:T32"/>
    <mergeCell ref="Q34:Q35"/>
    <mergeCell ref="R34:R35"/>
    <mergeCell ref="Z50:Z51"/>
    <mergeCell ref="W40:Z40"/>
    <mergeCell ref="X42:X43"/>
    <mergeCell ref="W44:Y44"/>
    <mergeCell ref="W50:W51"/>
    <mergeCell ref="X50:Y51"/>
    <mergeCell ref="W42:W43"/>
    <mergeCell ref="Y42:Y43"/>
    <mergeCell ref="W46:Z47"/>
    <mergeCell ref="W48:W49"/>
    <mergeCell ref="X48:Y49"/>
    <mergeCell ref="Z48:Z49"/>
    <mergeCell ref="M31:M32"/>
    <mergeCell ref="X26:Y26"/>
    <mergeCell ref="N30:N38"/>
    <mergeCell ref="W27:Y27"/>
    <mergeCell ref="W28:Z28"/>
    <mergeCell ref="W30:X30"/>
    <mergeCell ref="Y30:Y38"/>
    <mergeCell ref="O31:O32"/>
    <mergeCell ref="M26:N26"/>
    <mergeCell ref="L28:O28"/>
  </mergeCells>
  <phoneticPr fontId="2" type="noConversion"/>
  <conditionalFormatting sqref="U16">
    <cfRule type="cellIs" dxfId="10" priority="254" stopIfTrue="1" operator="greaterThan">
      <formula>$O$16</formula>
    </cfRule>
  </conditionalFormatting>
  <dataValidations disablePrompts="1" count="4">
    <dataValidation type="list" allowBlank="1" showInputMessage="1" showErrorMessage="1" sqref="A15:D15 Q15:T15 L15:O15 W15:Z15 F15:J15">
      <formula1>$AN$15:$AN$16</formula1>
    </dataValidation>
    <dataValidation type="list" allowBlank="1" showInputMessage="1" showErrorMessage="1" sqref="D16:D25 O16:O25 I16:I25 T16:T25 Z16:Z25">
      <formula1>$AO$14:$AO$34</formula1>
    </dataValidation>
    <dataValidation type="list" allowBlank="1" showInputMessage="1" showErrorMessage="1" sqref="F3">
      <formula1>$AU$15:$AU$18</formula1>
    </dataValidation>
    <dataValidation type="list" allowBlank="1" showInputMessage="1" showErrorMessage="1" sqref="B5:D5 X5:Z5 R5:T5 M5:O5 G5:I5">
      <formula1>$AX$15:$AX$17</formula1>
    </dataValidation>
  </dataValidations>
  <pageMargins left="0.7" right="0.7" top="0.75" bottom="0.75" header="0.3" footer="0.3"/>
  <pageSetup scale="35" fitToWidth="0" fitToHeight="0" orientation="landscape" r:id="rId1"/>
  <headerFooter>
    <oddHeader>&amp;CWest Virginia Stream and Wetland Valuation Metric (SWVM)
Version 2.1, September 2015</oddHeader>
  </headerFooter>
  <drawing r:id="rId2"/>
  <legacyDrawing r:id="rId3"/>
  <controls>
    <mc:AlternateContent xmlns:mc="http://schemas.openxmlformats.org/markup-compatibility/2006">
      <mc:Choice Requires="x14">
        <control shapeId="13314" r:id="rId4" name="DTPicker1">
          <controlPr print="0" autoLine="0" autoPict="0" linkedCell="X1" r:id="rId5">
            <anchor moveWithCells="1" sizeWithCells="1">
              <from>
                <xdr:col>23</xdr:col>
                <xdr:colOff>0</xdr:colOff>
                <xdr:row>0</xdr:row>
                <xdr:rowOff>28575</xdr:rowOff>
              </from>
              <to>
                <xdr:col>26</xdr:col>
                <xdr:colOff>0</xdr:colOff>
                <xdr:row>1</xdr:row>
                <xdr:rowOff>19050</xdr:rowOff>
              </to>
            </anchor>
          </controlPr>
        </control>
      </mc:Choice>
      <mc:Fallback>
        <control shapeId="13314" r:id="rId4" name="DTPicker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V234"/>
  <sheetViews>
    <sheetView showGridLines="0" view="pageLayout" topLeftCell="A3" zoomScale="65" zoomScaleNormal="75" zoomScalePageLayoutView="65" workbookViewId="0">
      <selection activeCell="C8" sqref="C8:C9"/>
    </sheetView>
  </sheetViews>
  <sheetFormatPr defaultColWidth="0" defaultRowHeight="12.75" customHeight="1" zeroHeight="1" x14ac:dyDescent="0.2"/>
  <cols>
    <col min="1" max="1" width="36.7109375" style="290" bestFit="1" customWidth="1"/>
    <col min="2" max="2" width="21.28515625" style="290" customWidth="1"/>
    <col min="3" max="3" width="30.28515625" style="290" customWidth="1"/>
    <col min="4" max="4" width="17.85546875" style="290" customWidth="1"/>
    <col min="5" max="5" width="22" style="290" customWidth="1"/>
    <col min="6" max="6" width="16.7109375" style="290" customWidth="1"/>
    <col min="7" max="7" width="23.7109375" style="290" bestFit="1" customWidth="1"/>
    <col min="8" max="8" width="17.42578125" style="290" customWidth="1"/>
    <col min="9" max="9" width="20.42578125" style="290" customWidth="1"/>
    <col min="10" max="10" width="12.140625" style="290" customWidth="1"/>
    <col min="11" max="11" width="3.85546875" style="290" customWidth="1"/>
    <col min="12" max="12" width="27.140625" style="290" hidden="1" customWidth="1"/>
    <col min="13" max="14" width="9.140625" style="290" hidden="1" customWidth="1"/>
    <col min="15" max="15" width="27.140625" style="290" hidden="1" customWidth="1"/>
    <col min="16" max="16" width="9.140625" style="290" hidden="1" customWidth="1"/>
    <col min="17" max="17" width="10.28515625" style="290" hidden="1" customWidth="1"/>
    <col min="18" max="18" width="14.140625" style="290" hidden="1" customWidth="1"/>
    <col min="19" max="19" width="2.7109375" style="290" hidden="1" customWidth="1"/>
    <col min="20" max="20" width="2.5703125" style="290" hidden="1" customWidth="1"/>
    <col min="21" max="21" width="11.28515625" style="290" hidden="1" customWidth="1"/>
    <col min="22" max="22" width="14" style="290" hidden="1" customWidth="1"/>
    <col min="23" max="16384" width="9.140625" style="290" hidden="1"/>
  </cols>
  <sheetData>
    <row r="1" spans="1:20" s="155" customFormat="1" ht="12.75" hidden="1" customHeight="1" x14ac:dyDescent="0.2">
      <c r="A1" s="553" t="s">
        <v>135</v>
      </c>
      <c r="B1" s="554"/>
      <c r="C1" s="554"/>
      <c r="D1" s="554"/>
      <c r="E1" s="554"/>
      <c r="F1" s="554"/>
      <c r="G1" s="554"/>
      <c r="H1" s="554"/>
      <c r="I1" s="554"/>
      <c r="J1" s="555"/>
      <c r="K1" s="55"/>
      <c r="L1" s="55"/>
      <c r="M1" s="55"/>
      <c r="N1" s="55"/>
      <c r="O1" s="55"/>
      <c r="P1" s="55"/>
      <c r="Q1" s="55"/>
      <c r="R1" s="55"/>
    </row>
    <row r="2" spans="1:20" s="155" customFormat="1" ht="69" hidden="1" customHeight="1" x14ac:dyDescent="0.2">
      <c r="A2" s="50" t="s">
        <v>119</v>
      </c>
      <c r="B2" s="51">
        <f>'Stream Parts I-II'!A50</f>
        <v>0.76416666666666666</v>
      </c>
      <c r="C2" s="165" t="s">
        <v>120</v>
      </c>
      <c r="D2" s="51">
        <f>IF(OR('Stream Parts I-II'!X3="n/a",'Stream Parts I-II'!X3=0),"",'Stream Parts I-II'!F50)</f>
        <v>0.86583333333333334</v>
      </c>
      <c r="E2" s="51"/>
      <c r="F2" s="52" t="s">
        <v>144</v>
      </c>
      <c r="G2" s="53">
        <f>IF(OR('Stream Parts I-II'!X3="n/a",'Stream Parts I-II'!X3=0),"",'Stream Parts I-II'!L50)</f>
        <v>0.86583333333333334</v>
      </c>
      <c r="H2" s="150" t="s">
        <v>149</v>
      </c>
      <c r="I2" s="53">
        <f>IF(OR('Stream Parts I-II'!X3="n/a",'Stream Parts I-II'!X3=0),"",'Stream Parts I-II'!Q50)</f>
        <v>0.86583333333333334</v>
      </c>
      <c r="J2" s="562" t="s">
        <v>121</v>
      </c>
      <c r="K2" s="563"/>
      <c r="L2" s="51">
        <f>IF(OR('Stream Parts I-II'!X3="n/a",'Stream Parts I-II'!X3=0),"",'Stream Parts I-II'!W50)</f>
        <v>0.86583333333333334</v>
      </c>
      <c r="M2" s="55"/>
      <c r="N2" s="55"/>
      <c r="O2" s="93"/>
      <c r="P2" s="93"/>
      <c r="Q2" s="55"/>
      <c r="R2" s="55"/>
      <c r="S2" s="55"/>
      <c r="T2" s="55"/>
    </row>
    <row r="3" spans="1:20" s="155" customFormat="1" ht="3" customHeight="1" x14ac:dyDescent="0.2">
      <c r="A3" s="54"/>
      <c r="B3" s="54"/>
      <c r="C3" s="54"/>
      <c r="D3" s="54"/>
      <c r="E3" s="54"/>
      <c r="F3" s="54"/>
      <c r="G3" s="54"/>
      <c r="H3" s="54"/>
      <c r="I3" s="55"/>
      <c r="J3" s="55"/>
      <c r="K3" s="55"/>
      <c r="L3" s="55"/>
      <c r="M3" s="93"/>
      <c r="N3" s="93"/>
      <c r="O3" s="55"/>
      <c r="P3" s="55"/>
      <c r="Q3" s="55"/>
      <c r="R3" s="55"/>
    </row>
    <row r="4" spans="1:20" s="155" customFormat="1" ht="33.75" customHeight="1" x14ac:dyDescent="0.2">
      <c r="A4" s="556" t="s">
        <v>282</v>
      </c>
      <c r="B4" s="557"/>
      <c r="C4" s="557"/>
      <c r="D4" s="557"/>
      <c r="E4" s="557"/>
      <c r="F4" s="557"/>
      <c r="G4" s="557"/>
      <c r="H4" s="557"/>
      <c r="I4" s="557"/>
      <c r="J4" s="557"/>
      <c r="K4" s="284"/>
      <c r="L4" s="55"/>
      <c r="M4" s="55"/>
      <c r="N4" s="55"/>
      <c r="O4" s="55"/>
      <c r="P4" s="55"/>
      <c r="Q4" s="55"/>
      <c r="R4" s="55"/>
    </row>
    <row r="5" spans="1:20" s="155" customFormat="1" ht="12.75" customHeight="1" x14ac:dyDescent="0.2">
      <c r="A5" s="558" t="s">
        <v>90</v>
      </c>
      <c r="B5" s="558"/>
      <c r="C5" s="558"/>
      <c r="D5" s="54"/>
      <c r="E5" s="54"/>
      <c r="F5" s="564" t="s">
        <v>19</v>
      </c>
      <c r="G5" s="565"/>
      <c r="H5" s="565"/>
      <c r="I5" s="565"/>
      <c r="J5" s="565"/>
      <c r="K5" s="284"/>
      <c r="L5" s="55"/>
      <c r="M5" s="55"/>
      <c r="N5" s="55"/>
      <c r="O5" s="55"/>
      <c r="P5" s="55"/>
      <c r="Q5" s="55"/>
      <c r="R5" s="55"/>
    </row>
    <row r="6" spans="1:20" s="155" customFormat="1" ht="12.75" customHeight="1" x14ac:dyDescent="0.2">
      <c r="A6" s="559" t="s">
        <v>99</v>
      </c>
      <c r="B6" s="559"/>
      <c r="C6" s="559"/>
      <c r="D6" s="56"/>
      <c r="E6" s="56"/>
      <c r="F6" s="560" t="s">
        <v>49</v>
      </c>
      <c r="G6" s="561"/>
      <c r="H6" s="566" t="s">
        <v>43</v>
      </c>
      <c r="I6" s="567"/>
      <c r="J6" s="567"/>
      <c r="K6" s="284"/>
      <c r="L6" s="55"/>
      <c r="M6" s="55"/>
      <c r="N6" s="55"/>
      <c r="O6" s="55"/>
      <c r="P6" s="55"/>
      <c r="Q6" s="55"/>
      <c r="R6" s="55"/>
    </row>
    <row r="7" spans="1:20" s="155" customFormat="1" ht="12.75" customHeight="1" x14ac:dyDescent="0.2">
      <c r="A7" s="559"/>
      <c r="B7" s="559"/>
      <c r="C7" s="559"/>
      <c r="D7" s="54"/>
      <c r="E7" s="54"/>
      <c r="F7" s="576" t="str">
        <f>IF(AND(H7&lt;=20,H7&gt;=0),"50% + 20 Year Monitoring",IF(AND(H7&gt;=21,H7&lt;=30),"40% + 15 Year Monitoring",IF(AND(H7&lt;=40,H7&gt;=31),"30% + 10 Year Monitoring",IF(AND(H7&lt;=50,H7&gt;=41),"20% + 5/10 Year Monitoring",IF(AND(H7&lt;=100,H7&gt;=51),"10% + 5/10 Year Monitoring",IF(OR(H7="perpetual",H7&gt;100),"0 + 5/10 Year Monitoring",0))))))</f>
        <v>0 + 5/10 Year Monitoring</v>
      </c>
      <c r="G7" s="577"/>
      <c r="H7" s="568">
        <v>101</v>
      </c>
      <c r="I7" s="569"/>
      <c r="J7" s="569"/>
      <c r="K7" s="284"/>
      <c r="L7" s="55"/>
      <c r="M7" s="55"/>
      <c r="N7" s="55"/>
      <c r="O7" s="55"/>
      <c r="P7" s="55"/>
      <c r="Q7" s="55"/>
      <c r="R7" s="55"/>
    </row>
    <row r="8" spans="1:20" s="155" customFormat="1" ht="12.75" customHeight="1" x14ac:dyDescent="0.2">
      <c r="A8" s="574" t="s">
        <v>8</v>
      </c>
      <c r="B8" s="574"/>
      <c r="C8" s="582">
        <v>0</v>
      </c>
      <c r="D8" s="57"/>
      <c r="E8" s="57"/>
      <c r="F8" s="578"/>
      <c r="G8" s="579"/>
      <c r="H8" s="570"/>
      <c r="I8" s="571"/>
      <c r="J8" s="571"/>
      <c r="K8" s="284"/>
      <c r="L8" s="55"/>
      <c r="M8" s="55"/>
      <c r="N8" s="55"/>
      <c r="O8" s="55"/>
      <c r="P8" s="55"/>
      <c r="Q8" s="55"/>
      <c r="R8" s="55"/>
    </row>
    <row r="9" spans="1:20" s="155" customFormat="1" ht="12.75" customHeight="1" x14ac:dyDescent="0.2">
      <c r="A9" s="574"/>
      <c r="B9" s="574"/>
      <c r="C9" s="582"/>
      <c r="D9" s="57"/>
      <c r="E9" s="57"/>
      <c r="F9" s="578"/>
      <c r="G9" s="579"/>
      <c r="H9" s="570"/>
      <c r="I9" s="571"/>
      <c r="J9" s="571"/>
      <c r="K9" s="285"/>
      <c r="L9" s="156"/>
      <c r="M9" s="55"/>
      <c r="N9" s="55"/>
      <c r="O9" s="55"/>
      <c r="P9" s="575"/>
      <c r="Q9" s="575"/>
      <c r="R9" s="55"/>
    </row>
    <row r="10" spans="1:20" s="155" customFormat="1" ht="12.75" customHeight="1" x14ac:dyDescent="0.25">
      <c r="A10" s="574" t="s">
        <v>15</v>
      </c>
      <c r="B10" s="574"/>
      <c r="C10" s="78">
        <f>IF(C8&lt;=1,0,C8*3/100*B2)</f>
        <v>0</v>
      </c>
      <c r="D10" s="57"/>
      <c r="E10" s="57"/>
      <c r="F10" s="578"/>
      <c r="G10" s="579"/>
      <c r="H10" s="570"/>
      <c r="I10" s="571"/>
      <c r="J10" s="571"/>
      <c r="K10" s="285"/>
      <c r="L10" s="156"/>
      <c r="M10" s="55"/>
      <c r="N10" s="55"/>
      <c r="O10" s="55"/>
      <c r="P10" s="157"/>
      <c r="Q10" s="157"/>
      <c r="R10" s="55"/>
    </row>
    <row r="11" spans="1:20" s="155" customFormat="1" ht="12.75" customHeight="1" x14ac:dyDescent="0.2">
      <c r="A11" s="584"/>
      <c r="B11" s="585"/>
      <c r="C11" s="586"/>
      <c r="D11" s="57"/>
      <c r="E11" s="57"/>
      <c r="F11" s="578"/>
      <c r="G11" s="579"/>
      <c r="H11" s="570"/>
      <c r="I11" s="571"/>
      <c r="J11" s="571"/>
      <c r="K11" s="285"/>
      <c r="L11" s="156"/>
      <c r="M11" s="55"/>
      <c r="N11" s="55"/>
      <c r="O11" s="55"/>
      <c r="P11" s="157"/>
      <c r="Q11" s="157"/>
      <c r="R11" s="55"/>
    </row>
    <row r="12" spans="1:20" s="155" customFormat="1" ht="12.75" customHeight="1" x14ac:dyDescent="0.2">
      <c r="A12" s="583" t="s">
        <v>7</v>
      </c>
      <c r="B12" s="583"/>
      <c r="C12" s="583"/>
      <c r="D12" s="57"/>
      <c r="E12" s="57"/>
      <c r="F12" s="580"/>
      <c r="G12" s="581"/>
      <c r="H12" s="572"/>
      <c r="I12" s="573"/>
      <c r="J12" s="573"/>
      <c r="K12" s="285"/>
      <c r="L12" s="156"/>
      <c r="M12" s="55"/>
      <c r="N12" s="55"/>
      <c r="O12" s="55"/>
      <c r="P12" s="157"/>
      <c r="Q12" s="157"/>
      <c r="R12" s="55"/>
    </row>
    <row r="13" spans="1:20" s="155" customFormat="1" ht="12.75" customHeight="1" x14ac:dyDescent="0.25">
      <c r="A13" s="600" t="s">
        <v>100</v>
      </c>
      <c r="B13" s="600"/>
      <c r="C13" s="600"/>
      <c r="D13" s="57"/>
      <c r="E13" s="57"/>
      <c r="F13" s="609" t="s">
        <v>15</v>
      </c>
      <c r="G13" s="610"/>
      <c r="H13" s="624">
        <f>I14</f>
        <v>0</v>
      </c>
      <c r="I13" s="625"/>
      <c r="J13" s="625"/>
      <c r="K13" s="285"/>
      <c r="L13" s="156"/>
      <c r="M13" s="55"/>
      <c r="N13" s="55"/>
      <c r="O13" s="55"/>
      <c r="P13" s="157"/>
      <c r="Q13" s="157"/>
      <c r="R13" s="55"/>
    </row>
    <row r="14" spans="1:20" s="155" customFormat="1" ht="12.75" customHeight="1" x14ac:dyDescent="0.2">
      <c r="A14" s="600"/>
      <c r="B14" s="600"/>
      <c r="C14" s="600"/>
      <c r="D14" s="58"/>
      <c r="E14" s="58"/>
      <c r="F14" s="88"/>
      <c r="G14" s="88"/>
      <c r="H14" s="152"/>
      <c r="I14" s="152">
        <f>IF(AND(H7&lt;=20,H7&gt;=0),B2*0.5,IF(AND(H7&gt;=21,H7&lt;=30),B2*0.4,IF(AND(H7&lt;=40,H7&gt;=31),B2*0.3,IF(AND(H7&lt;=50,H7&gt;=41),B2*0.2,IF(AND(H7&lt;=100,H7&gt;=51),B2*0.1,IF(OR(H7&gt;100,H7="perpetual"),0,0))))))</f>
        <v>0</v>
      </c>
      <c r="J14" s="153"/>
      <c r="K14" s="156"/>
      <c r="L14" s="156"/>
      <c r="M14" s="55"/>
      <c r="N14" s="55"/>
      <c r="O14" s="55"/>
      <c r="P14" s="158"/>
      <c r="Q14" s="159"/>
      <c r="R14" s="55"/>
    </row>
    <row r="15" spans="1:20" s="155" customFormat="1" ht="18" customHeight="1" x14ac:dyDescent="0.2">
      <c r="A15" s="600"/>
      <c r="B15" s="600"/>
      <c r="C15" s="600"/>
      <c r="D15" s="88"/>
      <c r="E15" s="88"/>
      <c r="F15" s="556" t="s">
        <v>150</v>
      </c>
      <c r="G15" s="557"/>
      <c r="H15" s="557"/>
      <c r="I15" s="557"/>
      <c r="J15" s="593"/>
      <c r="K15" s="164"/>
      <c r="L15" s="164"/>
      <c r="M15" s="164"/>
      <c r="N15" s="55"/>
      <c r="O15" s="55"/>
      <c r="P15" s="55"/>
      <c r="Q15" s="55"/>
      <c r="R15" s="55"/>
    </row>
    <row r="16" spans="1:20" s="155" customFormat="1" ht="12.75" customHeight="1" x14ac:dyDescent="0.2">
      <c r="A16" s="600"/>
      <c r="B16" s="600"/>
      <c r="C16" s="600"/>
      <c r="D16" s="88"/>
      <c r="E16" s="88"/>
      <c r="F16" s="588" t="s">
        <v>138</v>
      </c>
      <c r="G16" s="588" t="s">
        <v>107</v>
      </c>
      <c r="H16" s="588" t="s">
        <v>137</v>
      </c>
      <c r="I16" s="588" t="s">
        <v>280</v>
      </c>
      <c r="J16" s="598"/>
      <c r="K16" s="277"/>
      <c r="L16" s="164"/>
      <c r="M16" s="164"/>
      <c r="N16" s="55"/>
      <c r="O16" s="55"/>
      <c r="P16" s="55"/>
      <c r="Q16" s="55"/>
      <c r="R16" s="55"/>
    </row>
    <row r="17" spans="1:20" s="155" customFormat="1" ht="12.75" customHeight="1" x14ac:dyDescent="0.2">
      <c r="A17" s="620" t="s">
        <v>18</v>
      </c>
      <c r="B17" s="620"/>
      <c r="C17" s="619" t="s">
        <v>44</v>
      </c>
      <c r="D17" s="88"/>
      <c r="E17" s="88"/>
      <c r="F17" s="589"/>
      <c r="G17" s="589"/>
      <c r="H17" s="589"/>
      <c r="I17" s="589"/>
      <c r="J17" s="599"/>
      <c r="K17" s="277"/>
      <c r="L17" s="164"/>
      <c r="M17" s="164"/>
      <c r="N17" s="55"/>
      <c r="O17" s="55"/>
      <c r="P17" s="55"/>
      <c r="Q17" s="55"/>
      <c r="R17" s="55"/>
    </row>
    <row r="18" spans="1:20" s="155" customFormat="1" ht="12.75" customHeight="1" x14ac:dyDescent="0.2">
      <c r="A18" s="620"/>
      <c r="B18" s="620"/>
      <c r="C18" s="619"/>
      <c r="D18" s="88"/>
      <c r="E18" s="88"/>
      <c r="F18" s="611">
        <f>'Stream Parts I-II'!A50+C10+C23+H13</f>
        <v>0.76416666666666666</v>
      </c>
      <c r="G18" s="611">
        <f>'Stream Parts I-II'!B3</f>
        <v>50</v>
      </c>
      <c r="H18" s="611">
        <f>D48</f>
        <v>38.208333333333336</v>
      </c>
      <c r="I18" s="594">
        <f>H18*800</f>
        <v>30566.666666666668</v>
      </c>
      <c r="J18" s="595"/>
      <c r="K18" s="278" t="s">
        <v>279</v>
      </c>
      <c r="L18" s="164"/>
      <c r="M18" s="164"/>
      <c r="N18" s="55"/>
      <c r="O18" s="55"/>
      <c r="P18" s="55"/>
      <c r="Q18" s="55"/>
      <c r="R18" s="55"/>
    </row>
    <row r="19" spans="1:20" s="155" customFormat="1" ht="12.75" customHeight="1" x14ac:dyDescent="0.2">
      <c r="A19" s="601" t="str">
        <f>IF(AND(C19&lt;=5,C19&gt;=0),"0%",IF(AND(C19&lt;=10,C19&gt;5),"10%",IF(AND(C19&lt;=15,C19&gt;10),"20%",IF(AND(C19&gt;15),"30%","0%"))))</f>
        <v>0%</v>
      </c>
      <c r="B19" s="601"/>
      <c r="C19" s="582">
        <v>0</v>
      </c>
      <c r="D19" s="88"/>
      <c r="E19" s="88"/>
      <c r="F19" s="612"/>
      <c r="G19" s="612"/>
      <c r="H19" s="612"/>
      <c r="I19" s="596"/>
      <c r="J19" s="597"/>
      <c r="K19" s="279"/>
      <c r="L19" s="246"/>
      <c r="M19" s="164"/>
      <c r="N19" s="55"/>
      <c r="O19" s="55"/>
      <c r="P19" s="55"/>
      <c r="Q19" s="55"/>
      <c r="R19" s="55"/>
    </row>
    <row r="20" spans="1:20" s="155" customFormat="1" ht="12.75" customHeight="1" x14ac:dyDescent="0.2">
      <c r="A20" s="601"/>
      <c r="B20" s="601"/>
      <c r="C20" s="582"/>
      <c r="D20" s="88"/>
      <c r="E20" s="88"/>
      <c r="F20" s="88"/>
      <c r="G20" s="88"/>
      <c r="H20" s="88"/>
      <c r="I20" s="88"/>
      <c r="J20" s="88"/>
      <c r="K20" s="280"/>
      <c r="L20" s="164"/>
      <c r="M20" s="164"/>
      <c r="N20" s="55"/>
      <c r="O20" s="55"/>
      <c r="P20" s="55"/>
      <c r="Q20" s="55"/>
      <c r="R20" s="55"/>
    </row>
    <row r="21" spans="1:20" s="155" customFormat="1" ht="12.75" customHeight="1" x14ac:dyDescent="0.2">
      <c r="A21" s="601"/>
      <c r="B21" s="601"/>
      <c r="C21" s="582"/>
      <c r="D21" s="88"/>
      <c r="E21" s="88"/>
      <c r="F21" s="88"/>
      <c r="G21" s="88"/>
      <c r="H21" s="88"/>
      <c r="I21" s="88"/>
      <c r="J21" s="88"/>
      <c r="K21" s="280"/>
      <c r="L21" s="164"/>
      <c r="M21" s="164"/>
      <c r="N21" s="55"/>
      <c r="O21" s="55"/>
      <c r="P21" s="55"/>
      <c r="Q21" s="55"/>
      <c r="R21" s="55"/>
    </row>
    <row r="22" spans="1:20" s="155" customFormat="1" ht="12.75" customHeight="1" x14ac:dyDescent="0.2">
      <c r="A22" s="601"/>
      <c r="B22" s="601"/>
      <c r="C22" s="582"/>
      <c r="D22" s="88"/>
      <c r="E22" s="88"/>
      <c r="F22" s="88"/>
      <c r="G22" s="88"/>
      <c r="H22" s="88"/>
      <c r="I22" s="88"/>
      <c r="J22" s="88"/>
      <c r="K22" s="59"/>
      <c r="L22" s="55"/>
      <c r="M22" s="55"/>
      <c r="N22" s="55"/>
      <c r="O22" s="55"/>
      <c r="P22" s="55"/>
      <c r="Q22" s="55"/>
      <c r="R22" s="55"/>
    </row>
    <row r="23" spans="1:20" s="155" customFormat="1" ht="12.75" customHeight="1" x14ac:dyDescent="0.25">
      <c r="A23" s="608" t="s">
        <v>15</v>
      </c>
      <c r="B23" s="608"/>
      <c r="C23" s="77">
        <f>D23</f>
        <v>0</v>
      </c>
      <c r="D23" s="152">
        <f>IF(AND(C19&lt;=5,C19&gt;0),B2*0,IF(AND(C19&lt;=10,C19&gt;5),B2*0.1,IF(AND(C19&lt;=15,C19&gt;10),B2*0.2,IF(AND(C19&lt;=20,C19&gt;15),B2*0.3,IF(AND(C19&lt;=30,C19&gt;20),B2*0.4,(IF(C19&gt;30,B2*0.5,0)))))))</f>
        <v>0</v>
      </c>
      <c r="F23" s="88"/>
      <c r="G23" s="88"/>
      <c r="H23" s="88"/>
      <c r="I23" s="88"/>
      <c r="J23" s="88"/>
      <c r="K23" s="59"/>
      <c r="L23" s="55"/>
      <c r="M23" s="55"/>
      <c r="N23" s="55"/>
      <c r="O23" s="55"/>
      <c r="P23" s="55"/>
      <c r="Q23" s="55"/>
      <c r="R23" s="55"/>
    </row>
    <row r="24" spans="1:20" s="155" customFormat="1" ht="12.75" customHeight="1" x14ac:dyDescent="0.2">
      <c r="A24" s="154"/>
      <c r="B24" s="154"/>
      <c r="C24" s="186"/>
      <c r="E24" s="152"/>
      <c r="F24" s="88"/>
      <c r="G24" s="88"/>
      <c r="H24" s="88"/>
      <c r="I24" s="88"/>
      <c r="J24" s="88"/>
      <c r="K24" s="59"/>
      <c r="L24" s="55"/>
      <c r="M24" s="55"/>
      <c r="N24" s="55"/>
      <c r="O24" s="55"/>
      <c r="P24" s="55"/>
      <c r="Q24" s="55"/>
      <c r="R24" s="55"/>
    </row>
    <row r="25" spans="1:20" s="155" customFormat="1" ht="12.75" customHeight="1" x14ac:dyDescent="0.2">
      <c r="A25" s="160"/>
      <c r="B25" s="161"/>
      <c r="C25" s="161"/>
      <c r="D25" s="161"/>
      <c r="E25" s="162"/>
      <c r="F25" s="162"/>
      <c r="G25" s="162"/>
      <c r="H25" s="162"/>
      <c r="I25" s="162"/>
      <c r="J25" s="162"/>
      <c r="K25" s="59"/>
      <c r="L25" s="55"/>
      <c r="M25" s="55"/>
      <c r="N25" s="55"/>
      <c r="O25" s="55"/>
      <c r="P25" s="55"/>
      <c r="Q25" s="55"/>
      <c r="R25" s="55"/>
    </row>
    <row r="26" spans="1:20" s="155" customFormat="1" ht="27.75" customHeight="1" x14ac:dyDescent="0.2">
      <c r="A26" s="556" t="s">
        <v>281</v>
      </c>
      <c r="B26" s="557"/>
      <c r="C26" s="557"/>
      <c r="D26" s="557"/>
      <c r="E26" s="557"/>
      <c r="F26" s="557"/>
      <c r="G26" s="557"/>
      <c r="H26" s="557"/>
      <c r="I26" s="557"/>
      <c r="J26" s="593"/>
      <c r="K26" s="59"/>
      <c r="L26" s="55"/>
      <c r="M26" s="55"/>
      <c r="N26" s="55"/>
      <c r="O26" s="55"/>
      <c r="P26" s="55"/>
      <c r="Q26" s="55"/>
      <c r="R26" s="55"/>
    </row>
    <row r="27" spans="1:20" s="155" customFormat="1" ht="66.75" customHeight="1" x14ac:dyDescent="0.2">
      <c r="A27" s="60" t="s">
        <v>139</v>
      </c>
      <c r="B27" s="187">
        <f>H18</f>
        <v>38.208333333333336</v>
      </c>
      <c r="C27" s="60" t="s">
        <v>146</v>
      </c>
      <c r="D27" s="188">
        <f>IF(D2="","",D51)</f>
        <v>562.79166666666663</v>
      </c>
      <c r="E27" s="60" t="s">
        <v>144</v>
      </c>
      <c r="F27" s="187">
        <f>IF(G2="","",F52)</f>
        <v>562.79166666666663</v>
      </c>
      <c r="G27" s="60" t="s">
        <v>149</v>
      </c>
      <c r="H27" s="187">
        <f>IF(I2="","",H52)</f>
        <v>562.79166666666663</v>
      </c>
      <c r="I27" s="283" t="s">
        <v>122</v>
      </c>
      <c r="J27" s="187">
        <f>IF(L2="","",J52)</f>
        <v>562.79166666666663</v>
      </c>
      <c r="K27" s="61"/>
      <c r="L27" s="89"/>
      <c r="M27" s="55"/>
      <c r="N27" s="55"/>
      <c r="O27" s="55"/>
      <c r="P27" s="55"/>
      <c r="Q27" s="55"/>
      <c r="R27" s="55"/>
      <c r="S27" s="55"/>
      <c r="T27" s="55"/>
    </row>
    <row r="28" spans="1:20" s="155" customFormat="1" ht="27" customHeight="1" x14ac:dyDescent="0.25">
      <c r="A28" s="621" t="s">
        <v>145</v>
      </c>
      <c r="B28" s="622"/>
      <c r="C28" s="622"/>
      <c r="D28" s="623"/>
      <c r="E28" s="173"/>
      <c r="F28" s="78">
        <f>IF(D27="", 0,F27-D27)</f>
        <v>0</v>
      </c>
      <c r="G28" s="173"/>
      <c r="H28" s="78">
        <f>IF(D27="",0,H27-D27)</f>
        <v>0</v>
      </c>
      <c r="I28" s="174"/>
      <c r="J28" s="78">
        <f>IF(D27="",0,(J27-D27))</f>
        <v>0</v>
      </c>
      <c r="K28" s="231"/>
      <c r="L28" s="233"/>
      <c r="M28" s="55"/>
      <c r="N28" s="55"/>
      <c r="O28" s="55"/>
      <c r="P28" s="55"/>
      <c r="Q28" s="55"/>
      <c r="R28" s="55"/>
      <c r="S28" s="55"/>
      <c r="T28" s="55"/>
    </row>
    <row r="29" spans="1:20" s="155" customFormat="1" ht="12.75" customHeight="1" x14ac:dyDescent="0.2">
      <c r="A29" s="55"/>
      <c r="B29" s="55"/>
      <c r="C29" s="55"/>
      <c r="D29" s="55"/>
      <c r="E29" s="55"/>
      <c r="F29" s="55"/>
      <c r="G29" s="55"/>
      <c r="H29" s="55"/>
      <c r="I29" s="55"/>
      <c r="J29" s="55"/>
      <c r="K29" s="201"/>
      <c r="L29" s="88"/>
      <c r="M29" s="55"/>
      <c r="N29" s="55"/>
      <c r="O29" s="55"/>
      <c r="P29" s="55"/>
      <c r="Q29" s="55"/>
      <c r="R29" s="55"/>
    </row>
    <row r="30" spans="1:20" s="155" customFormat="1" ht="30" customHeight="1" x14ac:dyDescent="0.2">
      <c r="A30" s="590" t="s">
        <v>283</v>
      </c>
      <c r="B30" s="591"/>
      <c r="C30" s="591"/>
      <c r="D30" s="591"/>
      <c r="E30" s="591"/>
      <c r="F30" s="591"/>
      <c r="G30" s="591"/>
      <c r="H30" s="591"/>
      <c r="I30" s="591"/>
      <c r="J30" s="592"/>
      <c r="K30" s="198"/>
      <c r="L30" s="176" t="s">
        <v>158</v>
      </c>
      <c r="M30" s="176"/>
      <c r="N30" s="176"/>
      <c r="O30" s="176"/>
      <c r="P30" s="176"/>
      <c r="Q30" s="176"/>
      <c r="R30" s="55"/>
    </row>
    <row r="31" spans="1:20" s="240" customFormat="1" ht="50.25" customHeight="1" x14ac:dyDescent="0.2">
      <c r="A31" s="627" t="s">
        <v>204</v>
      </c>
      <c r="B31" s="628"/>
      <c r="C31" s="628"/>
      <c r="D31" s="628"/>
      <c r="E31" s="241" t="s">
        <v>160</v>
      </c>
      <c r="F31" s="613" t="s">
        <v>203</v>
      </c>
      <c r="G31" s="614"/>
      <c r="H31" s="614"/>
      <c r="I31" s="614"/>
      <c r="J31" s="615"/>
      <c r="K31" s="281"/>
      <c r="L31" s="238" t="s">
        <v>161</v>
      </c>
      <c r="M31" s="238"/>
      <c r="N31" s="238"/>
      <c r="O31" s="238"/>
      <c r="P31" s="238"/>
      <c r="Q31" s="238"/>
      <c r="R31" s="239"/>
    </row>
    <row r="32" spans="1:20" s="155" customFormat="1" ht="27" customHeight="1" x14ac:dyDescent="0.2">
      <c r="A32" s="369"/>
      <c r="B32" s="587"/>
      <c r="C32" s="587"/>
      <c r="D32" s="587"/>
      <c r="E32" s="286">
        <v>100</v>
      </c>
      <c r="F32" s="616"/>
      <c r="G32" s="617"/>
      <c r="H32" s="617"/>
      <c r="I32" s="617"/>
      <c r="J32" s="618"/>
      <c r="K32" s="178"/>
      <c r="L32" s="176"/>
      <c r="M32" s="176"/>
      <c r="N32" s="176"/>
      <c r="O32" s="176"/>
      <c r="P32" s="176"/>
      <c r="Q32" s="176"/>
      <c r="R32" s="55"/>
    </row>
    <row r="33" spans="1:18" s="155" customFormat="1" ht="24.75" customHeight="1" x14ac:dyDescent="0.2">
      <c r="A33" s="369"/>
      <c r="B33" s="587"/>
      <c r="C33" s="587"/>
      <c r="D33" s="587"/>
      <c r="E33" s="286">
        <v>75</v>
      </c>
      <c r="F33" s="237" t="s">
        <v>201</v>
      </c>
      <c r="G33" s="629" t="s">
        <v>188</v>
      </c>
      <c r="H33" s="630"/>
      <c r="I33" s="630"/>
      <c r="J33" s="631"/>
      <c r="K33" s="242"/>
      <c r="L33" s="176" t="s">
        <v>157</v>
      </c>
      <c r="M33" s="176"/>
      <c r="N33" s="176"/>
      <c r="O33" s="176" t="s">
        <v>162</v>
      </c>
      <c r="P33" s="176"/>
      <c r="Q33" s="176"/>
      <c r="R33" s="55"/>
    </row>
    <row r="34" spans="1:18" s="155" customFormat="1" ht="23.25" customHeight="1" x14ac:dyDescent="0.25">
      <c r="A34" s="369"/>
      <c r="B34" s="587"/>
      <c r="C34" s="587"/>
      <c r="D34" s="587"/>
      <c r="E34" s="286">
        <v>50</v>
      </c>
      <c r="F34" s="645">
        <v>150</v>
      </c>
      <c r="G34" s="163" t="str">
        <f>IF(D69=25,"26-50","0-50")</f>
        <v>0-50</v>
      </c>
      <c r="H34" s="634" t="s">
        <v>153</v>
      </c>
      <c r="I34" s="634"/>
      <c r="J34" s="634"/>
      <c r="K34" s="282">
        <f>IF(F34&gt;50,50,F34)</f>
        <v>50</v>
      </c>
      <c r="L34" s="175" t="s">
        <v>154</v>
      </c>
      <c r="M34" s="176"/>
      <c r="N34" s="176"/>
      <c r="O34" s="176" t="s">
        <v>159</v>
      </c>
      <c r="P34" s="176"/>
      <c r="Q34" s="176"/>
      <c r="R34" s="55"/>
    </row>
    <row r="35" spans="1:18" s="155" customFormat="1" ht="12.75" customHeight="1" x14ac:dyDescent="0.25">
      <c r="A35" s="646"/>
      <c r="B35" s="646"/>
      <c r="C35" s="646"/>
      <c r="D35" s="367" t="b">
        <v>0</v>
      </c>
      <c r="E35" s="286">
        <v>25</v>
      </c>
      <c r="F35" s="645"/>
      <c r="G35" s="163" t="s">
        <v>190</v>
      </c>
      <c r="H35" s="634" t="s">
        <v>140</v>
      </c>
      <c r="I35" s="634"/>
      <c r="J35" s="634"/>
      <c r="K35" s="282">
        <f>IF(F34&gt;50,F34,0)</f>
        <v>150</v>
      </c>
      <c r="L35" s="177" t="s">
        <v>140</v>
      </c>
      <c r="M35" s="176"/>
      <c r="N35" s="176"/>
      <c r="O35" s="176" t="s">
        <v>163</v>
      </c>
      <c r="P35" s="176"/>
      <c r="Q35" s="176"/>
      <c r="R35" s="55"/>
    </row>
    <row r="36" spans="1:18" s="155" customFormat="1" ht="12.75" customHeight="1" x14ac:dyDescent="0.2">
      <c r="A36" s="364"/>
      <c r="B36" s="365"/>
      <c r="C36" s="365"/>
      <c r="D36" s="367" t="b">
        <v>0</v>
      </c>
      <c r="E36" s="178"/>
      <c r="F36" s="237" t="s">
        <v>201</v>
      </c>
      <c r="G36" s="629" t="s">
        <v>189</v>
      </c>
      <c r="H36" s="630"/>
      <c r="I36" s="630"/>
      <c r="J36" s="631"/>
      <c r="K36" s="242"/>
      <c r="L36" s="177" t="s">
        <v>153</v>
      </c>
      <c r="M36" s="164"/>
      <c r="N36" s="164"/>
      <c r="O36" s="164"/>
      <c r="P36" s="55"/>
      <c r="Q36" s="55"/>
      <c r="R36" s="55"/>
    </row>
    <row r="37" spans="1:18" s="155" customFormat="1" ht="12.75" customHeight="1" x14ac:dyDescent="0.25">
      <c r="A37" s="366"/>
      <c r="B37" s="366"/>
      <c r="C37" s="366"/>
      <c r="D37" s="368" t="b">
        <v>0</v>
      </c>
      <c r="E37" s="178"/>
      <c r="F37" s="645">
        <v>150</v>
      </c>
      <c r="G37" s="163" t="str">
        <f>IF(D69=25,"26-50","0-50")</f>
        <v>0-50</v>
      </c>
      <c r="H37" s="641" t="s">
        <v>153</v>
      </c>
      <c r="I37" s="641"/>
      <c r="J37" s="641"/>
      <c r="K37" s="282">
        <f>IF(F37&gt;50,50,F37)</f>
        <v>50</v>
      </c>
      <c r="L37" s="177" t="s">
        <v>152</v>
      </c>
      <c r="M37" s="164"/>
      <c r="N37" s="164"/>
      <c r="O37" s="164"/>
      <c r="P37" s="55"/>
      <c r="Q37" s="55"/>
      <c r="R37" s="55"/>
    </row>
    <row r="38" spans="1:18" s="155" customFormat="1" ht="12.75" customHeight="1" x14ac:dyDescent="0.25">
      <c r="A38" s="602" t="s">
        <v>343</v>
      </c>
      <c r="B38" s="603"/>
      <c r="C38" s="604"/>
      <c r="D38" s="647" t="s">
        <v>364</v>
      </c>
      <c r="E38" s="178"/>
      <c r="F38" s="645"/>
      <c r="G38" s="236" t="s">
        <v>190</v>
      </c>
      <c r="H38" s="634" t="s">
        <v>140</v>
      </c>
      <c r="I38" s="634"/>
      <c r="J38" s="634"/>
      <c r="K38" s="282">
        <f>IF(F37&gt;50,F37,0)</f>
        <v>150</v>
      </c>
      <c r="L38" s="152"/>
      <c r="M38" s="164"/>
      <c r="N38" s="164"/>
      <c r="O38" s="164"/>
      <c r="P38" s="55"/>
      <c r="Q38" s="55"/>
      <c r="R38" s="55"/>
    </row>
    <row r="39" spans="1:18" s="155" customFormat="1" ht="12.75" customHeight="1" x14ac:dyDescent="0.2">
      <c r="A39" s="605"/>
      <c r="B39" s="606"/>
      <c r="C39" s="607"/>
      <c r="D39" s="648"/>
      <c r="E39" s="230"/>
      <c r="F39" s="626" t="s">
        <v>202</v>
      </c>
      <c r="G39" s="632">
        <f>(F34+F37)/2</f>
        <v>150</v>
      </c>
      <c r="H39" s="230"/>
      <c r="I39" s="230"/>
      <c r="J39" s="229"/>
      <c r="K39" s="229"/>
      <c r="L39" s="88"/>
      <c r="M39" s="88"/>
      <c r="N39" s="88"/>
      <c r="O39" s="88"/>
      <c r="P39" s="55"/>
      <c r="Q39" s="55"/>
      <c r="R39" s="55"/>
    </row>
    <row r="40" spans="1:18" s="155" customFormat="1" ht="12.75" customHeight="1" x14ac:dyDescent="0.2">
      <c r="A40" s="316"/>
      <c r="B40" s="315"/>
      <c r="C40" s="329"/>
      <c r="D40" s="329"/>
      <c r="E40" s="230"/>
      <c r="F40" s="627"/>
      <c r="G40" s="628"/>
      <c r="H40" s="230"/>
      <c r="I40" s="230"/>
      <c r="J40" s="230"/>
      <c r="K40" s="88"/>
      <c r="L40" s="88"/>
      <c r="M40" s="88"/>
      <c r="N40" s="88"/>
      <c r="O40" s="88"/>
      <c r="P40" s="55"/>
      <c r="Q40" s="55"/>
      <c r="R40" s="55"/>
    </row>
    <row r="41" spans="1:18" s="155" customFormat="1" ht="6.75" customHeight="1" x14ac:dyDescent="0.2">
      <c r="A41" s="89"/>
      <c r="B41" s="170"/>
      <c r="C41" s="330"/>
      <c r="D41" s="229"/>
      <c r="E41" s="231"/>
      <c r="F41" s="230"/>
      <c r="G41" s="230"/>
      <c r="H41" s="230"/>
      <c r="I41" s="331"/>
      <c r="J41" s="230"/>
      <c r="K41" s="88"/>
      <c r="L41" s="88"/>
      <c r="M41" s="88"/>
      <c r="N41" s="88"/>
      <c r="O41" s="88"/>
      <c r="P41" s="55"/>
      <c r="Q41" s="55"/>
      <c r="R41" s="55"/>
    </row>
    <row r="42" spans="1:18" s="155" customFormat="1" ht="43.5" customHeight="1" x14ac:dyDescent="0.2">
      <c r="A42" s="637" t="s">
        <v>129</v>
      </c>
      <c r="B42" s="638"/>
      <c r="C42" s="169" t="s">
        <v>130</v>
      </c>
      <c r="D42" s="197" t="s">
        <v>156</v>
      </c>
      <c r="E42" s="232"/>
      <c r="F42" s="229"/>
      <c r="G42" s="201"/>
      <c r="H42" s="642" t="s">
        <v>369</v>
      </c>
      <c r="I42" s="643"/>
      <c r="J42" s="644"/>
      <c r="K42" s="229"/>
      <c r="L42" s="88"/>
      <c r="M42" s="88"/>
      <c r="N42" s="88"/>
      <c r="O42" s="88"/>
      <c r="P42" s="55"/>
      <c r="Q42" s="55"/>
      <c r="R42" s="55"/>
    </row>
    <row r="43" spans="1:18" s="155" customFormat="1" ht="30.75" customHeight="1" x14ac:dyDescent="0.2">
      <c r="A43" s="635" t="s">
        <v>358</v>
      </c>
      <c r="B43" s="636"/>
      <c r="C43" s="179">
        <f>D48</f>
        <v>38.208333333333336</v>
      </c>
      <c r="D43" s="373">
        <f>IF(H43="Only active during preservation",G44, H43)</f>
        <v>40.199404761904759</v>
      </c>
      <c r="E43" s="233"/>
      <c r="F43" s="233"/>
      <c r="G43" s="374" t="s">
        <v>151</v>
      </c>
      <c r="H43" s="639">
        <f>IF('Stream Parts I-II'!F3="PRESERVATION",J27/M57, "Only Active During Preservation")</f>
        <v>40.199404761904759</v>
      </c>
      <c r="I43" s="639"/>
      <c r="J43" s="640"/>
      <c r="K43" s="229"/>
      <c r="L43" s="88"/>
      <c r="M43" s="88"/>
      <c r="N43" s="88"/>
      <c r="O43" s="88"/>
      <c r="P43" s="55"/>
      <c r="Q43" s="55"/>
      <c r="R43" s="55"/>
    </row>
    <row r="44" spans="1:18" s="155" customFormat="1" ht="12.75" customHeight="1" x14ac:dyDescent="0.2">
      <c r="A44" s="319"/>
      <c r="B44" s="319"/>
      <c r="C44" s="319" t="s">
        <v>53</v>
      </c>
      <c r="D44" s="319"/>
      <c r="E44" s="319"/>
      <c r="F44" s="319"/>
      <c r="G44" s="374">
        <f>IF('Stream Parts I-II'!F3="PRESERVATION",J28+(H43*D83+(H43*B61)+(J28*B61)+(J27/M57)),J28+(J28*D65+(J28*B61)))</f>
        <v>50.249255952380949</v>
      </c>
      <c r="H44" s="319"/>
      <c r="I44" s="319"/>
      <c r="J44" s="319"/>
      <c r="K44" s="319"/>
      <c r="L44" s="319"/>
      <c r="M44" s="319"/>
      <c r="N44" s="319"/>
      <c r="O44" s="88"/>
      <c r="P44" s="164"/>
      <c r="Q44" s="164"/>
      <c r="R44" s="164"/>
    </row>
    <row r="45" spans="1:18" ht="12.75" customHeight="1" x14ac:dyDescent="0.2">
      <c r="A45" s="319"/>
      <c r="B45" s="319"/>
      <c r="C45" s="319"/>
      <c r="D45" s="319"/>
      <c r="E45" s="319"/>
      <c r="F45" s="319"/>
      <c r="G45" s="319"/>
      <c r="H45" s="319"/>
      <c r="I45" s="288" t="e">
        <f>SUM(J28,H65)</f>
        <v>#DIV/0!</v>
      </c>
      <c r="J45" s="319"/>
      <c r="K45" s="319"/>
      <c r="L45" s="319"/>
      <c r="M45" s="319"/>
      <c r="N45" s="319"/>
      <c r="O45" s="88"/>
      <c r="P45" s="164"/>
      <c r="Q45" s="164"/>
      <c r="R45" s="164"/>
    </row>
    <row r="46" spans="1:18" ht="12.75" hidden="1" customHeight="1" x14ac:dyDescent="0.2">
      <c r="A46" s="319"/>
      <c r="B46" s="319"/>
      <c r="C46" s="319"/>
      <c r="D46" s="633" t="s">
        <v>171</v>
      </c>
      <c r="E46" s="633"/>
      <c r="F46" s="319"/>
      <c r="G46" s="319"/>
      <c r="H46" s="319"/>
      <c r="I46" s="319"/>
      <c r="J46" s="319"/>
      <c r="K46" s="319"/>
      <c r="L46" s="319"/>
      <c r="M46" s="319"/>
      <c r="N46" s="319"/>
      <c r="O46" s="88"/>
      <c r="P46" s="164"/>
      <c r="Q46" s="164"/>
      <c r="R46" s="164"/>
    </row>
    <row r="47" spans="1:18" ht="40.5" hidden="1" customHeight="1" x14ac:dyDescent="0.2">
      <c r="A47" s="319"/>
      <c r="B47" s="319"/>
      <c r="C47" s="321" t="s">
        <v>170</v>
      </c>
      <c r="D47" s="633"/>
      <c r="E47" s="633"/>
      <c r="F47" s="322"/>
      <c r="G47" s="322"/>
      <c r="H47" s="322"/>
      <c r="I47" s="322"/>
      <c r="J47" s="322"/>
      <c r="K47" s="319"/>
      <c r="L47" s="319"/>
      <c r="M47" s="319"/>
      <c r="N47" s="319"/>
      <c r="O47" s="88"/>
      <c r="P47" s="164"/>
      <c r="Q47" s="164"/>
      <c r="R47" s="164"/>
    </row>
    <row r="48" spans="1:18" ht="12.75" hidden="1" customHeight="1" x14ac:dyDescent="0.2">
      <c r="A48" s="319"/>
      <c r="B48" s="319"/>
      <c r="C48" s="323">
        <f>SUM('Stream Parts I-II'!A50:A51,C10,C23,H13)</f>
        <v>0.76416666666666666</v>
      </c>
      <c r="D48" s="319">
        <f>C48*'Stream Parts I-II'!B3</f>
        <v>38.208333333333336</v>
      </c>
      <c r="E48" s="319"/>
      <c r="F48" s="322"/>
      <c r="G48" s="322"/>
      <c r="H48" s="322"/>
      <c r="I48" s="322"/>
      <c r="J48" s="322"/>
      <c r="K48" s="319"/>
      <c r="L48" s="319"/>
      <c r="M48" s="319"/>
      <c r="N48" s="319"/>
      <c r="O48" s="88"/>
      <c r="P48" s="164"/>
      <c r="Q48" s="164"/>
      <c r="R48" s="164"/>
    </row>
    <row r="49" spans="1:18" ht="12.75" hidden="1" customHeight="1" x14ac:dyDescent="0.2">
      <c r="A49" s="319"/>
      <c r="B49" s="319"/>
      <c r="C49" s="319"/>
      <c r="D49" s="319"/>
      <c r="E49" s="319"/>
      <c r="F49" s="319"/>
      <c r="G49" s="319"/>
      <c r="H49" s="319"/>
      <c r="I49" s="319"/>
      <c r="J49" s="319"/>
      <c r="K49" s="319"/>
      <c r="L49" s="319"/>
      <c r="M49" s="319"/>
      <c r="N49" s="319"/>
      <c r="O49" s="88"/>
      <c r="P49" s="164"/>
      <c r="Q49" s="164"/>
      <c r="R49" s="164"/>
    </row>
    <row r="50" spans="1:18" ht="12.75" hidden="1" customHeight="1" x14ac:dyDescent="0.2">
      <c r="A50" s="319"/>
      <c r="B50" s="319"/>
      <c r="C50" s="323" t="s">
        <v>186</v>
      </c>
      <c r="D50" s="323"/>
      <c r="E50" s="323"/>
      <c r="F50" s="319"/>
      <c r="G50" s="319"/>
      <c r="H50" s="319"/>
      <c r="I50" s="319"/>
      <c r="J50" s="319"/>
      <c r="K50" s="319"/>
      <c r="L50" s="319"/>
      <c r="M50" s="319"/>
      <c r="N50" s="319"/>
      <c r="O50" s="88"/>
      <c r="P50" s="164"/>
      <c r="Q50" s="164"/>
      <c r="R50" s="164"/>
    </row>
    <row r="51" spans="1:18" ht="28.5" hidden="1" customHeight="1" x14ac:dyDescent="0.2">
      <c r="A51" s="319"/>
      <c r="B51" s="319"/>
      <c r="C51" s="320" t="s">
        <v>146</v>
      </c>
      <c r="D51" s="324">
        <f>IF(D2="","",D2*'Stream Parts I-II'!X3)</f>
        <v>562.79166666666663</v>
      </c>
      <c r="E51" s="320" t="s">
        <v>144</v>
      </c>
      <c r="F51" s="323"/>
      <c r="G51" s="323"/>
      <c r="H51" s="323"/>
      <c r="I51" s="323"/>
      <c r="J51" s="323"/>
      <c r="K51" s="319"/>
      <c r="L51" s="319"/>
      <c r="M51" s="319"/>
      <c r="N51" s="319"/>
      <c r="O51" s="88"/>
      <c r="P51" s="164"/>
      <c r="Q51" s="164"/>
      <c r="R51" s="164"/>
    </row>
    <row r="52" spans="1:18" ht="41.25" hidden="1" customHeight="1" x14ac:dyDescent="0.2">
      <c r="A52" s="319"/>
      <c r="B52" s="319"/>
      <c r="C52" s="319"/>
      <c r="D52" s="319"/>
      <c r="E52" s="319"/>
      <c r="F52" s="324">
        <f>IF(G2="","",G2*'Stream Parts I-II'!X3)</f>
        <v>562.79166666666663</v>
      </c>
      <c r="G52" s="320" t="s">
        <v>149</v>
      </c>
      <c r="H52" s="324">
        <f>IF(I2="","",I2*'Stream Parts I-II'!X3)</f>
        <v>562.79166666666663</v>
      </c>
      <c r="I52" s="320" t="s">
        <v>122</v>
      </c>
      <c r="J52" s="324">
        <f>IF(L2="","",L2*'Stream Parts I-II'!X3)</f>
        <v>562.79166666666663</v>
      </c>
      <c r="K52" s="319"/>
      <c r="L52" s="319" t="s">
        <v>316</v>
      </c>
      <c r="M52" s="319" t="s">
        <v>317</v>
      </c>
      <c r="N52" s="319"/>
      <c r="O52" s="88"/>
      <c r="P52" s="164"/>
      <c r="Q52" s="164"/>
      <c r="R52" s="164"/>
    </row>
    <row r="53" spans="1:18" ht="12.75" hidden="1" customHeight="1" x14ac:dyDescent="0.2">
      <c r="A53" s="319"/>
      <c r="B53" s="319"/>
      <c r="C53" s="319"/>
      <c r="D53" s="319"/>
      <c r="E53" s="319"/>
      <c r="F53" s="319"/>
      <c r="G53" s="319"/>
      <c r="H53" s="319"/>
      <c r="I53" s="319"/>
      <c r="J53" s="319"/>
      <c r="K53" s="319"/>
      <c r="L53" s="319" t="s">
        <v>312</v>
      </c>
      <c r="M53" s="319">
        <v>10</v>
      </c>
      <c r="N53" s="88"/>
      <c r="P53" s="164"/>
      <c r="Q53" s="164"/>
      <c r="R53" s="164"/>
    </row>
    <row r="54" spans="1:18" ht="22.5" hidden="1" customHeight="1" x14ac:dyDescent="0.3">
      <c r="A54" s="319"/>
      <c r="B54" s="319"/>
      <c r="C54" s="650" t="s">
        <v>326</v>
      </c>
      <c r="D54" s="650"/>
      <c r="E54" s="650"/>
      <c r="F54" s="650"/>
      <c r="G54" s="650"/>
      <c r="H54" s="650"/>
      <c r="I54" s="650"/>
      <c r="J54" s="650"/>
      <c r="K54" s="319"/>
      <c r="L54" s="319" t="s">
        <v>313</v>
      </c>
      <c r="M54" s="319">
        <v>12</v>
      </c>
      <c r="N54" s="88"/>
      <c r="P54" s="164"/>
      <c r="Q54" s="164"/>
      <c r="R54" s="164"/>
    </row>
    <row r="55" spans="1:18" ht="12.75" hidden="1" customHeight="1" x14ac:dyDescent="0.2">
      <c r="A55" s="649" t="s">
        <v>191</v>
      </c>
      <c r="B55" s="649"/>
      <c r="C55" s="649" t="s">
        <v>188</v>
      </c>
      <c r="D55" s="649"/>
      <c r="E55" s="649"/>
      <c r="F55" s="649"/>
      <c r="G55" s="649"/>
      <c r="H55" s="649"/>
      <c r="I55" s="649"/>
      <c r="J55" s="649"/>
      <c r="K55" s="319"/>
      <c r="L55" s="319" t="s">
        <v>314</v>
      </c>
      <c r="M55" s="319">
        <v>14</v>
      </c>
      <c r="N55" s="88"/>
      <c r="P55" s="164"/>
      <c r="Q55" s="164"/>
      <c r="R55" s="164"/>
    </row>
    <row r="56" spans="1:18" ht="26.25" hidden="1" customHeight="1" x14ac:dyDescent="0.2">
      <c r="A56" s="325" t="s">
        <v>192</v>
      </c>
      <c r="B56" s="325">
        <v>100</v>
      </c>
      <c r="C56" s="319"/>
      <c r="D56" s="326" t="s">
        <v>198</v>
      </c>
      <c r="E56" s="320" t="s">
        <v>206</v>
      </c>
      <c r="F56" s="327" t="s">
        <v>187</v>
      </c>
      <c r="G56" s="327" t="s">
        <v>164</v>
      </c>
      <c r="H56" s="327" t="s">
        <v>165</v>
      </c>
      <c r="I56" s="319"/>
      <c r="J56" s="323"/>
      <c r="K56" s="319"/>
      <c r="L56" s="319" t="s">
        <v>315</v>
      </c>
      <c r="M56" s="319">
        <v>16</v>
      </c>
      <c r="N56" s="88"/>
      <c r="P56" s="164"/>
      <c r="Q56" s="164"/>
      <c r="R56" s="164"/>
    </row>
    <row r="57" spans="1:18" ht="12.75" hidden="1" customHeight="1" x14ac:dyDescent="0.2">
      <c r="A57" s="317" t="s">
        <v>193</v>
      </c>
      <c r="B57" s="325">
        <v>75</v>
      </c>
      <c r="C57" s="319" t="s">
        <v>155</v>
      </c>
      <c r="D57" s="327">
        <f>IF(OR(K34=0,K34="",K34&lt;D69),0,(K34-D69))</f>
        <v>50</v>
      </c>
      <c r="E57" s="324">
        <f>50-D69</f>
        <v>50</v>
      </c>
      <c r="F57" s="327">
        <f>D57/E57</f>
        <v>1</v>
      </c>
      <c r="G57" s="327">
        <f>IF(H34="Preservation",F66/100*J28,IF(H34="Preservation and Supplemental Planting",F67/100*J28,IF(H34="Preservation and Re-vegetation",F68/100*J28,0)))</f>
        <v>0</v>
      </c>
      <c r="H57" s="327">
        <f>F57*G57</f>
        <v>0</v>
      </c>
      <c r="I57" s="319"/>
      <c r="J57" s="319"/>
      <c r="K57" s="319"/>
      <c r="L57" s="319" t="s">
        <v>318</v>
      </c>
      <c r="M57" s="319">
        <f>IF('Stream Parts I-II'!F3="PRESERVATION",N57,0)</f>
        <v>14</v>
      </c>
      <c r="N57" s="319">
        <f>IF(AND('Stream Parts I-II'!W50&lt;=1,'Stream Parts I-II'!W50&gt;=0.95),M53,IF(AND('Stream Parts I-II'!W50&lt;0.95,'Stream Parts I-II'!W50&gt;=0.9),M54,IF(AND('Stream Parts I-II'!W50&lt;0.9,'Stream Parts I-II'!W50&gt;=0.85),M55,IF(AND('Stream Parts I-II'!W50&lt;0.85,'Stream Parts I-II'!W50&gt;=0.8),M56,0))))</f>
        <v>14</v>
      </c>
      <c r="O57" s="88"/>
      <c r="P57" s="164"/>
      <c r="Q57" s="164"/>
      <c r="R57" s="164"/>
    </row>
    <row r="58" spans="1:18" ht="12.75" hidden="1" customHeight="1" x14ac:dyDescent="0.2">
      <c r="A58" s="317" t="s">
        <v>194</v>
      </c>
      <c r="B58" s="325">
        <v>50</v>
      </c>
      <c r="C58" s="319" t="s">
        <v>155</v>
      </c>
      <c r="D58" s="327">
        <f>IF(OR(K35=0,K35="",K35&lt;50),0,(K35-50))</f>
        <v>100</v>
      </c>
      <c r="E58" s="324">
        <v>100</v>
      </c>
      <c r="F58" s="327">
        <f>D58/E58</f>
        <v>1</v>
      </c>
      <c r="G58" s="327">
        <f>IF(H35="Preservation",F66/200*J28,IF(H35="Preservation and Supplemental Planting",F67/200*J28,IF(H35="Preservation and Re-vegetation",F68/200*J28,0)))</f>
        <v>0</v>
      </c>
      <c r="H58" s="327">
        <f>F58*G58</f>
        <v>0</v>
      </c>
      <c r="I58" s="319"/>
      <c r="J58" s="319"/>
      <c r="K58" s="319"/>
      <c r="L58" s="319"/>
      <c r="M58" s="319"/>
      <c r="N58" s="319"/>
      <c r="O58" s="88"/>
      <c r="P58" s="164"/>
      <c r="Q58" s="164"/>
      <c r="R58" s="164"/>
    </row>
    <row r="59" spans="1:18" ht="12.75" hidden="1" customHeight="1" x14ac:dyDescent="0.2">
      <c r="A59" s="317" t="s">
        <v>195</v>
      </c>
      <c r="B59" s="325">
        <v>25</v>
      </c>
      <c r="C59" s="649" t="s">
        <v>189</v>
      </c>
      <c r="D59" s="649"/>
      <c r="E59" s="649"/>
      <c r="F59" s="649"/>
      <c r="G59" s="649"/>
      <c r="H59" s="649"/>
      <c r="I59" s="649"/>
      <c r="J59" s="649"/>
      <c r="K59" s="319"/>
      <c r="L59" s="319"/>
      <c r="M59" s="319"/>
      <c r="N59" s="319"/>
      <c r="O59" s="88"/>
      <c r="P59" s="164"/>
      <c r="Q59" s="164"/>
      <c r="R59" s="164"/>
    </row>
    <row r="60" spans="1:18" ht="24" hidden="1" customHeight="1" x14ac:dyDescent="0.2">
      <c r="A60" s="317" t="s">
        <v>196</v>
      </c>
      <c r="B60" s="325">
        <f>IF(OR(D35=TRUE,D35="x"),B56,IF(OR(D36=TRUE,D36="x"),B57,IF(OR(D37=TRUE,D37="x"),B58,0)))</f>
        <v>0</v>
      </c>
      <c r="C60" s="319"/>
      <c r="D60" s="326" t="s">
        <v>198</v>
      </c>
      <c r="E60" s="320" t="s">
        <v>206</v>
      </c>
      <c r="F60" s="327" t="s">
        <v>187</v>
      </c>
      <c r="G60" s="327" t="s">
        <v>164</v>
      </c>
      <c r="H60" s="327" t="s">
        <v>165</v>
      </c>
      <c r="I60" s="319"/>
      <c r="J60" s="323"/>
      <c r="K60" s="319"/>
      <c r="L60" s="318" t="s">
        <v>319</v>
      </c>
      <c r="M60" s="318">
        <f>J27/M57</f>
        <v>40.199404761904759</v>
      </c>
      <c r="N60" s="319"/>
      <c r="O60" s="88"/>
      <c r="P60" s="164"/>
      <c r="Q60" s="164"/>
      <c r="R60" s="164"/>
    </row>
    <row r="61" spans="1:18" ht="12.75" hidden="1" customHeight="1" x14ac:dyDescent="0.2">
      <c r="A61" s="317" t="s">
        <v>197</v>
      </c>
      <c r="B61" s="325">
        <f>IF(OR(D38="y",D38="yes"),B60/100,0)</f>
        <v>0</v>
      </c>
      <c r="C61" s="319" t="s">
        <v>155</v>
      </c>
      <c r="D61" s="327">
        <f>IF(OR(K37=0,K37="",K37&lt;D69),0,(K37-D69))</f>
        <v>50</v>
      </c>
      <c r="E61" s="324">
        <f>50-D69</f>
        <v>50</v>
      </c>
      <c r="F61" s="327">
        <f>D61/E61</f>
        <v>1</v>
      </c>
      <c r="G61" s="327">
        <f>IF(H37="Preservation",F66/100*J28,IF(H37="Preservation and Supplemental Planting",F67/100*J28,IF(H37="Preservation and Re-vegetation",F68/100*J28,0)))</f>
        <v>0</v>
      </c>
      <c r="H61" s="327">
        <f>F61*G61</f>
        <v>0</v>
      </c>
      <c r="I61" s="319"/>
      <c r="J61" s="319"/>
      <c r="K61" s="319"/>
      <c r="L61" s="319"/>
      <c r="M61" s="319"/>
      <c r="N61" s="319"/>
      <c r="O61" s="88"/>
      <c r="P61" s="164"/>
      <c r="Q61" s="164"/>
      <c r="R61" s="164"/>
    </row>
    <row r="62" spans="1:18" ht="12.75" hidden="1" customHeight="1" x14ac:dyDescent="0.2">
      <c r="A62" s="318" t="s">
        <v>321</v>
      </c>
      <c r="B62" s="333">
        <f>J28*B61</f>
        <v>0</v>
      </c>
      <c r="C62" s="319" t="s">
        <v>155</v>
      </c>
      <c r="D62" s="327">
        <f>IF(OR(K38=0,K38="",K38&lt;50),0,(K38-50))</f>
        <v>100</v>
      </c>
      <c r="E62" s="324">
        <v>100</v>
      </c>
      <c r="F62" s="327">
        <f>D62/E62</f>
        <v>1</v>
      </c>
      <c r="G62" s="327">
        <f>IF(H38="Preservation",F66/200*J28,IF(H38="Preservation and Supplemental Planting",F67/200*J28,IF(H38="Preservation and Re-vegetation",F68/200*J28,0)))</f>
        <v>0</v>
      </c>
      <c r="H62" s="327">
        <f>F62*G62</f>
        <v>0</v>
      </c>
      <c r="I62" s="319"/>
      <c r="J62" s="319"/>
      <c r="K62" s="319"/>
      <c r="L62" s="318" t="s">
        <v>324</v>
      </c>
      <c r="M62" s="318"/>
      <c r="N62" s="318"/>
      <c r="O62" s="88"/>
      <c r="P62" s="164"/>
      <c r="Q62" s="164"/>
      <c r="R62" s="164"/>
    </row>
    <row r="63" spans="1:18" ht="12.75" hidden="1" customHeight="1" x14ac:dyDescent="0.2">
      <c r="B63" s="319"/>
      <c r="C63" s="319" t="s">
        <v>322</v>
      </c>
      <c r="D63" s="319" t="e">
        <f>IF(((H57+H61)/2)&gt;D66/100*J28,D66/100,((H57+H61)/2)/J28)</f>
        <v>#DIV/0!</v>
      </c>
      <c r="E63" s="319"/>
      <c r="F63" s="319"/>
      <c r="G63" s="319"/>
      <c r="H63" s="319"/>
      <c r="I63" s="319"/>
      <c r="J63" s="319"/>
      <c r="K63" s="319"/>
      <c r="L63" s="319"/>
      <c r="M63" s="319"/>
      <c r="N63" s="319"/>
      <c r="O63" s="233"/>
      <c r="P63" s="234"/>
      <c r="Q63" s="234"/>
      <c r="R63" s="234"/>
    </row>
    <row r="64" spans="1:18" ht="12.75" hidden="1" customHeight="1" x14ac:dyDescent="0.2">
      <c r="A64" s="319"/>
      <c r="B64" s="319"/>
      <c r="C64" s="319" t="s">
        <v>323</v>
      </c>
      <c r="D64" s="328" t="e">
        <f>IF(OR(K35=0,K38=0),IF(((H58+H62)/2)&gt;(D67/2),D67/200,((H58+H62)/2)/J28),IF(((H58+H62)/2)&gt;D67/100*J28,D67/100,((H58+H62)/2)/J28))</f>
        <v>#DIV/0!</v>
      </c>
      <c r="E64" s="319"/>
      <c r="F64" s="319"/>
      <c r="G64" s="319"/>
      <c r="H64" s="332" t="s">
        <v>320</v>
      </c>
      <c r="I64" s="317"/>
      <c r="J64" s="319"/>
      <c r="K64" s="319"/>
      <c r="L64" s="319"/>
      <c r="M64" s="319"/>
      <c r="N64" s="319"/>
      <c r="O64" s="233"/>
      <c r="P64" s="234"/>
      <c r="Q64" s="234"/>
      <c r="R64" s="234"/>
    </row>
    <row r="65" spans="1:18" ht="12.75" hidden="1" customHeight="1" x14ac:dyDescent="0.2">
      <c r="A65" s="319"/>
      <c r="B65" s="319"/>
      <c r="C65" s="332" t="s">
        <v>183</v>
      </c>
      <c r="D65" s="334" t="e">
        <f>SUM(D63:D64)</f>
        <v>#DIV/0!</v>
      </c>
      <c r="E65" s="319"/>
      <c r="F65" s="319" t="s">
        <v>200</v>
      </c>
      <c r="G65" s="319"/>
      <c r="H65" s="332" t="e">
        <f>J28*D65</f>
        <v>#DIV/0!</v>
      </c>
      <c r="I65" s="317"/>
      <c r="J65" s="319"/>
      <c r="K65" s="319"/>
      <c r="L65" s="319"/>
      <c r="M65" s="319"/>
      <c r="N65" s="319"/>
      <c r="O65" s="233"/>
      <c r="P65" s="234"/>
      <c r="Q65" s="234"/>
      <c r="R65" s="234"/>
    </row>
    <row r="66" spans="1:18" ht="12.75" hidden="1" customHeight="1" x14ac:dyDescent="0.2">
      <c r="A66" s="319"/>
      <c r="B66" s="319"/>
      <c r="C66" s="317" t="s">
        <v>184</v>
      </c>
      <c r="D66" s="317">
        <v>35</v>
      </c>
      <c r="E66" s="335" t="s">
        <v>140</v>
      </c>
      <c r="F66" s="319">
        <v>10</v>
      </c>
      <c r="G66" s="319"/>
      <c r="H66" s="319"/>
      <c r="I66" s="319"/>
      <c r="J66" s="319"/>
      <c r="K66" s="319"/>
      <c r="L66" s="319"/>
      <c r="M66" s="319"/>
      <c r="N66" s="319"/>
      <c r="O66" s="233"/>
      <c r="P66" s="234"/>
      <c r="Q66" s="234"/>
      <c r="R66" s="234"/>
    </row>
    <row r="67" spans="1:18" ht="12.75" hidden="1" customHeight="1" x14ac:dyDescent="0.2">
      <c r="A67" s="319"/>
      <c r="B67" s="319"/>
      <c r="C67" s="317" t="s">
        <v>185</v>
      </c>
      <c r="D67" s="317">
        <v>17.5</v>
      </c>
      <c r="E67" s="335" t="s">
        <v>153</v>
      </c>
      <c r="F67" s="319">
        <v>20</v>
      </c>
      <c r="G67" s="319"/>
      <c r="H67" s="319"/>
      <c r="I67" s="319"/>
      <c r="J67" s="319"/>
      <c r="K67" s="319"/>
      <c r="L67" s="319"/>
      <c r="M67" s="319"/>
      <c r="N67" s="319"/>
      <c r="O67" s="233"/>
      <c r="P67" s="234"/>
      <c r="Q67" s="234"/>
      <c r="R67" s="234"/>
    </row>
    <row r="68" spans="1:18" ht="12.75" hidden="1" customHeight="1" x14ac:dyDescent="0.2">
      <c r="A68" s="288"/>
      <c r="B68" s="288"/>
      <c r="C68" s="288"/>
      <c r="D68" s="288"/>
      <c r="E68" s="335" t="s">
        <v>152</v>
      </c>
      <c r="F68" s="319">
        <v>35</v>
      </c>
      <c r="G68" s="319"/>
      <c r="H68" s="319"/>
      <c r="I68" s="319"/>
      <c r="J68" s="319"/>
      <c r="K68" s="319"/>
      <c r="L68" s="288"/>
      <c r="M68" s="318"/>
      <c r="N68" s="318"/>
      <c r="O68" s="234"/>
      <c r="P68" s="234"/>
      <c r="Q68" s="234"/>
      <c r="R68" s="234"/>
    </row>
    <row r="69" spans="1:18" ht="12.75" hidden="1" customHeight="1" x14ac:dyDescent="0.2">
      <c r="A69" s="288"/>
      <c r="B69" s="288"/>
      <c r="C69" s="289" t="s">
        <v>199</v>
      </c>
      <c r="D69" s="289">
        <v>0</v>
      </c>
      <c r="E69" s="288"/>
      <c r="F69" s="319"/>
      <c r="G69" s="319"/>
      <c r="H69" s="319"/>
      <c r="I69" s="319"/>
      <c r="J69" s="319"/>
      <c r="K69" s="319"/>
      <c r="L69" s="288"/>
      <c r="M69" s="318"/>
      <c r="N69" s="318"/>
      <c r="O69" s="234"/>
      <c r="P69" s="234"/>
      <c r="Q69" s="234"/>
      <c r="R69" s="234"/>
    </row>
    <row r="70" spans="1:18" ht="12.75" hidden="1" customHeight="1" x14ac:dyDescent="0.2">
      <c r="A70" s="288"/>
      <c r="B70" s="288"/>
      <c r="C70" s="288"/>
      <c r="D70" s="288"/>
      <c r="E70" s="288"/>
      <c r="F70" s="288"/>
      <c r="G70" s="288"/>
      <c r="H70" s="288"/>
      <c r="I70" s="288"/>
      <c r="J70" s="288"/>
      <c r="K70" s="288"/>
      <c r="L70" s="288"/>
      <c r="M70" s="318"/>
      <c r="N70" s="318"/>
      <c r="O70" s="234"/>
      <c r="P70" s="234"/>
      <c r="Q70" s="234"/>
      <c r="R70" s="234"/>
    </row>
    <row r="71" spans="1:18" ht="12.75" hidden="1" customHeight="1" x14ac:dyDescent="0.2">
      <c r="A71" s="288"/>
      <c r="B71" s="288"/>
      <c r="C71" s="288"/>
      <c r="D71" s="288"/>
      <c r="E71" s="288"/>
      <c r="F71" s="288"/>
      <c r="G71" s="288"/>
      <c r="H71" s="288"/>
      <c r="I71" s="288"/>
      <c r="J71" s="288"/>
      <c r="K71" s="288"/>
      <c r="L71" s="288"/>
      <c r="M71" s="318"/>
      <c r="N71" s="318"/>
      <c r="O71" s="234"/>
      <c r="P71" s="234"/>
      <c r="Q71" s="234"/>
      <c r="R71" s="234"/>
    </row>
    <row r="72" spans="1:18" ht="24.75" hidden="1" customHeight="1" x14ac:dyDescent="0.2">
      <c r="A72" s="288"/>
      <c r="B72" s="288"/>
      <c r="C72" s="651" t="s">
        <v>327</v>
      </c>
      <c r="D72" s="651"/>
      <c r="E72" s="651"/>
      <c r="F72" s="651"/>
      <c r="G72" s="651"/>
      <c r="H72" s="651"/>
      <c r="I72" s="651"/>
      <c r="J72" s="288"/>
      <c r="K72" s="288"/>
      <c r="L72" s="288"/>
      <c r="M72" s="318"/>
      <c r="N72" s="318"/>
      <c r="O72" s="234"/>
      <c r="P72" s="234"/>
      <c r="Q72" s="234"/>
      <c r="R72" s="234"/>
    </row>
    <row r="73" spans="1:18" ht="12.75" hidden="1" customHeight="1" x14ac:dyDescent="0.2">
      <c r="A73" s="288"/>
      <c r="B73" s="288"/>
      <c r="C73" s="649" t="s">
        <v>188</v>
      </c>
      <c r="D73" s="649"/>
      <c r="E73" s="649"/>
      <c r="F73" s="649"/>
      <c r="G73" s="649"/>
      <c r="H73" s="649"/>
      <c r="I73" s="649"/>
      <c r="J73" s="649"/>
      <c r="K73" s="288"/>
      <c r="L73" s="288"/>
      <c r="M73" s="318"/>
      <c r="N73" s="318"/>
      <c r="O73" s="234"/>
      <c r="P73" s="234"/>
      <c r="Q73" s="234"/>
      <c r="R73" s="234"/>
    </row>
    <row r="74" spans="1:18" ht="12.75" hidden="1" customHeight="1" x14ac:dyDescent="0.2">
      <c r="A74" s="288"/>
      <c r="B74" s="288"/>
      <c r="C74" s="319"/>
      <c r="D74" s="326" t="s">
        <v>198</v>
      </c>
      <c r="E74" s="320" t="s">
        <v>206</v>
      </c>
      <c r="F74" s="327" t="s">
        <v>187</v>
      </c>
      <c r="G74" s="327" t="s">
        <v>164</v>
      </c>
      <c r="H74" s="327" t="s">
        <v>165</v>
      </c>
      <c r="I74" s="319"/>
      <c r="J74" s="323"/>
      <c r="K74" s="288"/>
      <c r="L74" s="288"/>
      <c r="M74" s="318"/>
      <c r="N74" s="318"/>
      <c r="O74" s="234"/>
      <c r="P74" s="234"/>
      <c r="Q74" s="234"/>
      <c r="R74" s="234"/>
    </row>
    <row r="75" spans="1:18" ht="12.75" hidden="1" customHeight="1" x14ac:dyDescent="0.2">
      <c r="A75" s="288"/>
      <c r="B75" s="288"/>
      <c r="C75" s="319" t="s">
        <v>155</v>
      </c>
      <c r="D75" s="327">
        <f t="shared" ref="D75:D76" si="0">D57</f>
        <v>50</v>
      </c>
      <c r="E75" s="324">
        <f>50-D87</f>
        <v>50</v>
      </c>
      <c r="F75" s="327">
        <f>D75/E75</f>
        <v>1</v>
      </c>
      <c r="G75" s="327">
        <f>IF(H34="Preservation",F66/100*H43,IF(H34="Preservation and Supplemental Planting",F67/100*H43,IF(H34="Preservation and Re-vegetation",F68/100*H43,0)))</f>
        <v>8.0398809523809529</v>
      </c>
      <c r="H75" s="327">
        <f>F75*G75</f>
        <v>8.0398809523809529</v>
      </c>
      <c r="I75" s="319"/>
      <c r="J75" s="319"/>
      <c r="K75" s="288"/>
      <c r="L75" s="288"/>
      <c r="M75" s="318"/>
      <c r="N75" s="318"/>
      <c r="O75" s="234"/>
      <c r="P75" s="234"/>
      <c r="Q75" s="234"/>
      <c r="R75" s="234"/>
    </row>
    <row r="76" spans="1:18" ht="12.75" hidden="1" customHeight="1" x14ac:dyDescent="0.2">
      <c r="A76" s="288"/>
      <c r="B76" s="288"/>
      <c r="C76" s="319" t="s">
        <v>155</v>
      </c>
      <c r="D76" s="327">
        <f t="shared" si="0"/>
        <v>100</v>
      </c>
      <c r="E76" s="324">
        <v>100</v>
      </c>
      <c r="F76" s="327">
        <f>D76/E76</f>
        <v>1</v>
      </c>
      <c r="G76" s="327">
        <f>IF(H35="Preservation",F66/200*H43,IF(H35="Preservation and Supplemental Planting",F67/200*H43,IF(H35="Preservation and Re-vegetation",F68/200*H43,0)))</f>
        <v>2.0099702380952382</v>
      </c>
      <c r="H76" s="327">
        <f>F76*G76</f>
        <v>2.0099702380952382</v>
      </c>
      <c r="I76" s="319"/>
      <c r="J76" s="319"/>
      <c r="K76" s="288"/>
      <c r="L76" s="288"/>
      <c r="M76" s="318"/>
      <c r="N76" s="318"/>
      <c r="O76" s="234"/>
      <c r="P76" s="234"/>
      <c r="Q76" s="234"/>
      <c r="R76" s="234"/>
    </row>
    <row r="77" spans="1:18" ht="12.75" hidden="1" customHeight="1" x14ac:dyDescent="0.2">
      <c r="A77" s="288"/>
      <c r="B77" s="288"/>
      <c r="C77" s="649" t="s">
        <v>189</v>
      </c>
      <c r="D77" s="649"/>
      <c r="E77" s="649"/>
      <c r="F77" s="649"/>
      <c r="G77" s="649"/>
      <c r="H77" s="649"/>
      <c r="I77" s="649"/>
      <c r="J77" s="649"/>
      <c r="K77" s="288"/>
      <c r="L77" s="288"/>
      <c r="M77" s="318"/>
      <c r="N77" s="318"/>
      <c r="O77" s="234"/>
      <c r="P77" s="234"/>
      <c r="Q77" s="234"/>
      <c r="R77" s="234"/>
    </row>
    <row r="78" spans="1:18" ht="12.75" hidden="1" customHeight="1" x14ac:dyDescent="0.2">
      <c r="A78" s="288"/>
      <c r="B78" s="288"/>
      <c r="C78" s="319"/>
      <c r="D78" s="326" t="s">
        <v>198</v>
      </c>
      <c r="E78" s="320" t="s">
        <v>206</v>
      </c>
      <c r="F78" s="327" t="s">
        <v>187</v>
      </c>
      <c r="G78" s="327" t="s">
        <v>164</v>
      </c>
      <c r="H78" s="327" t="s">
        <v>165</v>
      </c>
      <c r="I78" s="319"/>
      <c r="J78" s="323"/>
      <c r="K78" s="288"/>
      <c r="L78" s="288"/>
      <c r="M78" s="318"/>
      <c r="N78" s="318"/>
      <c r="O78" s="234"/>
      <c r="P78" s="234"/>
      <c r="Q78" s="234"/>
      <c r="R78" s="234"/>
    </row>
    <row r="79" spans="1:18" ht="12.75" hidden="1" customHeight="1" x14ac:dyDescent="0.2">
      <c r="A79" s="318"/>
      <c r="B79" s="318"/>
      <c r="C79" s="319" t="s">
        <v>155</v>
      </c>
      <c r="D79" s="327">
        <f t="shared" ref="D79:D80" si="1">D61</f>
        <v>50</v>
      </c>
      <c r="E79" s="324">
        <f>50-D87</f>
        <v>50</v>
      </c>
      <c r="F79" s="327">
        <f>D79/E79</f>
        <v>1</v>
      </c>
      <c r="G79" s="327">
        <f>IF(H37="Preservation",F66/100*H43,IF(H37="Preservation and Supplemental Planting",F67/100*H43,IF(H37="Preservation and Re-vegetation",F68/100*H43,0)))</f>
        <v>8.0398809523809529</v>
      </c>
      <c r="H79" s="327">
        <f>F79*G79</f>
        <v>8.0398809523809529</v>
      </c>
      <c r="I79" s="319"/>
      <c r="J79" s="319"/>
      <c r="K79" s="318"/>
      <c r="L79" s="318"/>
      <c r="M79" s="318"/>
      <c r="N79" s="318"/>
      <c r="O79" s="234"/>
      <c r="P79" s="234"/>
      <c r="Q79" s="234"/>
      <c r="R79" s="234"/>
    </row>
    <row r="80" spans="1:18" ht="12.75" hidden="1" customHeight="1" x14ac:dyDescent="0.2">
      <c r="A80" s="318"/>
      <c r="B80" s="318"/>
      <c r="C80" s="319" t="s">
        <v>155</v>
      </c>
      <c r="D80" s="327">
        <f t="shared" si="1"/>
        <v>100</v>
      </c>
      <c r="E80" s="324">
        <v>100</v>
      </c>
      <c r="F80" s="327">
        <f>D80/E80</f>
        <v>1</v>
      </c>
      <c r="G80" s="327">
        <f>IF(H38="Preservation",F66/200*H43,IF(H38="Preservation and Supplemental Planting",F67/200*H43,IF(H38="Preservation and Re-vegetation",F68/200*H43,0)))</f>
        <v>2.0099702380952382</v>
      </c>
      <c r="H80" s="327">
        <f>F80*G80</f>
        <v>2.0099702380952382</v>
      </c>
      <c r="I80" s="319"/>
      <c r="J80" s="319"/>
      <c r="K80" s="318"/>
      <c r="L80" s="318"/>
      <c r="M80" s="318"/>
      <c r="N80" s="318"/>
      <c r="O80" s="234"/>
      <c r="P80" s="234"/>
      <c r="Q80" s="234"/>
      <c r="R80" s="234"/>
    </row>
    <row r="81" spans="1:18" ht="12.75" hidden="1" customHeight="1" x14ac:dyDescent="0.2">
      <c r="A81" s="318"/>
      <c r="B81" s="318"/>
      <c r="C81" s="319" t="s">
        <v>322</v>
      </c>
      <c r="D81" s="319">
        <f>IF(((H75+H79)/2)&gt;D84/100*H43,D84/100,((H75+H79)/2)/H43)</f>
        <v>0.20000000000000004</v>
      </c>
      <c r="E81" s="319"/>
      <c r="F81" s="319"/>
      <c r="G81" s="319"/>
      <c r="H81" s="319"/>
      <c r="I81" s="319"/>
      <c r="J81" s="319"/>
      <c r="K81" s="318"/>
      <c r="L81" s="318"/>
      <c r="M81" s="318"/>
      <c r="N81" s="318"/>
      <c r="O81" s="234"/>
      <c r="P81" s="234"/>
      <c r="Q81" s="234"/>
      <c r="R81" s="234"/>
    </row>
    <row r="82" spans="1:18" ht="12.75" hidden="1" customHeight="1" x14ac:dyDescent="0.2">
      <c r="A82" s="318"/>
      <c r="B82" s="318"/>
      <c r="C82" s="319" t="s">
        <v>323</v>
      </c>
      <c r="D82" s="328">
        <f>IF(OR(K35=0,K38=0),IF(((H76+H80)/2)&gt;(D85/2),D85/200,((H76+H80)/2)/H43),IF(((H76+H80)/2)&gt;D85/100*H43,D85/100,((H76+H80)/2)/H43))</f>
        <v>5.000000000000001E-2</v>
      </c>
      <c r="E82" s="319"/>
      <c r="F82" s="319"/>
      <c r="G82" s="319"/>
      <c r="H82" s="332" t="s">
        <v>320</v>
      </c>
      <c r="I82" s="317"/>
      <c r="J82" s="319"/>
      <c r="K82" s="318"/>
      <c r="L82" s="318"/>
      <c r="M82" s="318"/>
      <c r="N82" s="318"/>
      <c r="O82" s="234"/>
      <c r="P82" s="234"/>
      <c r="Q82" s="234"/>
      <c r="R82" s="234"/>
    </row>
    <row r="83" spans="1:18" ht="12.75" hidden="1" customHeight="1" x14ac:dyDescent="0.2">
      <c r="A83" s="318"/>
      <c r="B83" s="318"/>
      <c r="C83" s="332" t="s">
        <v>183</v>
      </c>
      <c r="D83" s="334">
        <f>SUM(D81:D82)</f>
        <v>0.25000000000000006</v>
      </c>
      <c r="E83" s="319"/>
      <c r="F83" s="319" t="s">
        <v>200</v>
      </c>
      <c r="G83" s="319"/>
      <c r="H83" s="332">
        <f>H43*D83</f>
        <v>10.049851190476192</v>
      </c>
      <c r="I83" s="317"/>
      <c r="J83" s="319"/>
      <c r="K83" s="318"/>
      <c r="L83" s="318"/>
      <c r="M83" s="318"/>
      <c r="N83" s="318"/>
      <c r="O83" s="234"/>
      <c r="P83" s="234"/>
      <c r="Q83" s="234"/>
      <c r="R83" s="234"/>
    </row>
    <row r="84" spans="1:18" ht="12.75" hidden="1" customHeight="1" x14ac:dyDescent="0.2">
      <c r="A84" s="318"/>
      <c r="B84" s="318"/>
      <c r="C84" s="317" t="s">
        <v>184</v>
      </c>
      <c r="D84" s="317">
        <v>35</v>
      </c>
      <c r="E84" s="335"/>
      <c r="F84" s="319"/>
      <c r="G84" s="319"/>
      <c r="H84" s="319"/>
      <c r="I84" s="319"/>
      <c r="J84" s="319"/>
      <c r="K84" s="318"/>
      <c r="L84" s="318"/>
      <c r="M84" s="318"/>
      <c r="N84" s="318"/>
      <c r="O84" s="234"/>
      <c r="P84" s="234"/>
      <c r="Q84" s="234"/>
      <c r="R84" s="234"/>
    </row>
    <row r="85" spans="1:18" ht="12.75" hidden="1" customHeight="1" x14ac:dyDescent="0.2">
      <c r="A85" s="318"/>
      <c r="B85" s="318"/>
      <c r="C85" s="317" t="s">
        <v>185</v>
      </c>
      <c r="D85" s="317">
        <v>17.5</v>
      </c>
      <c r="E85" s="335"/>
      <c r="F85" s="319"/>
      <c r="G85" s="319"/>
      <c r="H85" s="319"/>
      <c r="I85" s="319"/>
      <c r="J85" s="319"/>
      <c r="K85" s="318"/>
      <c r="L85" s="318"/>
      <c r="M85" s="318"/>
      <c r="N85" s="318"/>
      <c r="O85" s="234"/>
      <c r="P85" s="234"/>
      <c r="Q85" s="234"/>
      <c r="R85" s="234"/>
    </row>
    <row r="86" spans="1:18" ht="12.75" hidden="1" customHeight="1" x14ac:dyDescent="0.2">
      <c r="A86" s="318"/>
      <c r="B86" s="318"/>
      <c r="C86" s="318"/>
      <c r="D86" s="318"/>
      <c r="E86" s="318"/>
      <c r="F86" s="318"/>
      <c r="G86" s="318"/>
      <c r="H86" s="318"/>
      <c r="I86" s="318"/>
      <c r="J86" s="318"/>
      <c r="K86" s="318"/>
      <c r="L86" s="318"/>
      <c r="M86" s="318"/>
      <c r="N86" s="318"/>
      <c r="O86" s="234"/>
      <c r="P86" s="234"/>
      <c r="Q86" s="234"/>
      <c r="R86" s="234"/>
    </row>
    <row r="87" spans="1:18" ht="12.75" hidden="1" customHeight="1" x14ac:dyDescent="0.2">
      <c r="A87" s="318"/>
      <c r="B87" s="318"/>
      <c r="C87" s="318"/>
      <c r="D87" s="318"/>
      <c r="E87" s="318"/>
      <c r="F87" s="318"/>
      <c r="G87" s="318"/>
      <c r="H87" s="318"/>
      <c r="I87" s="318"/>
      <c r="J87" s="318"/>
      <c r="K87" s="318"/>
      <c r="L87" s="318"/>
      <c r="M87" s="318"/>
      <c r="N87" s="318"/>
      <c r="O87" s="234"/>
      <c r="P87" s="234"/>
      <c r="Q87" s="234"/>
      <c r="R87" s="234"/>
    </row>
    <row r="88" spans="1:18" ht="12.75" hidden="1" customHeight="1" x14ac:dyDescent="0.2">
      <c r="A88" s="318"/>
      <c r="B88" s="318"/>
      <c r="C88" s="318"/>
      <c r="D88" s="318"/>
      <c r="E88" s="318"/>
      <c r="F88" s="318"/>
      <c r="G88" s="318"/>
      <c r="H88" s="318"/>
      <c r="I88" s="318"/>
      <c r="J88" s="318"/>
      <c r="K88" s="318"/>
      <c r="L88" s="318"/>
      <c r="M88" s="318"/>
      <c r="N88" s="318"/>
      <c r="O88" s="234"/>
      <c r="P88" s="234"/>
      <c r="Q88" s="234"/>
      <c r="R88" s="234"/>
    </row>
    <row r="89" spans="1:18" ht="12.75" hidden="1" customHeight="1" x14ac:dyDescent="0.2">
      <c r="A89" s="318"/>
      <c r="B89" s="318"/>
      <c r="C89" s="318"/>
      <c r="D89" s="318"/>
      <c r="E89" s="318"/>
      <c r="F89" s="318"/>
      <c r="G89" s="318"/>
      <c r="H89" s="318"/>
      <c r="I89" s="318"/>
      <c r="J89" s="318"/>
      <c r="K89" s="318"/>
      <c r="L89" s="318"/>
      <c r="M89" s="318"/>
      <c r="N89" s="318"/>
      <c r="O89" s="234"/>
      <c r="P89" s="234"/>
      <c r="Q89" s="234"/>
      <c r="R89" s="234"/>
    </row>
    <row r="90" spans="1:18" ht="12.75" hidden="1" customHeight="1" x14ac:dyDescent="0.2">
      <c r="A90" s="318"/>
      <c r="B90" s="318"/>
      <c r="C90" s="318"/>
      <c r="D90" s="318"/>
      <c r="E90" s="318"/>
      <c r="F90" s="318"/>
      <c r="G90" s="318"/>
      <c r="H90" s="318"/>
      <c r="I90" s="318"/>
      <c r="J90" s="318"/>
      <c r="K90" s="318"/>
      <c r="L90" s="318"/>
      <c r="M90" s="318"/>
      <c r="N90" s="318"/>
      <c r="O90" s="234"/>
      <c r="P90" s="234"/>
      <c r="Q90" s="234"/>
      <c r="R90" s="234"/>
    </row>
    <row r="91" spans="1:18" ht="12.75" hidden="1" customHeight="1" x14ac:dyDescent="0.2">
      <c r="A91" s="287"/>
      <c r="B91" s="287"/>
      <c r="C91" s="287"/>
      <c r="D91" s="287"/>
      <c r="E91" s="287"/>
      <c r="F91" s="171"/>
      <c r="G91" s="171"/>
      <c r="H91" s="171"/>
      <c r="I91" s="171"/>
      <c r="J91" s="171"/>
      <c r="K91" s="287"/>
      <c r="L91" s="234"/>
      <c r="M91" s="234"/>
      <c r="N91" s="234"/>
      <c r="O91" s="234"/>
      <c r="P91" s="234"/>
      <c r="Q91" s="234"/>
      <c r="R91" s="234"/>
    </row>
    <row r="92" spans="1:18" ht="12.75" hidden="1" customHeight="1" x14ac:dyDescent="0.2">
      <c r="A92" s="234"/>
      <c r="B92" s="234"/>
      <c r="C92" s="234"/>
      <c r="D92" s="234"/>
      <c r="E92" s="234"/>
      <c r="F92" s="287"/>
      <c r="G92" s="287"/>
      <c r="H92" s="287"/>
      <c r="I92" s="287"/>
      <c r="J92" s="287"/>
      <c r="K92" s="234"/>
      <c r="L92" s="234"/>
      <c r="M92" s="234"/>
      <c r="N92" s="234"/>
      <c r="O92" s="234"/>
      <c r="P92" s="234"/>
      <c r="Q92" s="234"/>
      <c r="R92" s="234"/>
    </row>
    <row r="93" spans="1:18" ht="12.75" hidden="1" customHeight="1" x14ac:dyDescent="0.2">
      <c r="A93" s="234"/>
      <c r="B93" s="234"/>
      <c r="C93" s="234"/>
      <c r="D93" s="234"/>
      <c r="E93" s="234"/>
      <c r="F93" s="234"/>
      <c r="G93" s="234"/>
      <c r="H93" s="234"/>
      <c r="I93" s="234"/>
      <c r="J93" s="234"/>
      <c r="K93" s="234"/>
      <c r="L93" s="234"/>
      <c r="M93" s="234"/>
      <c r="N93" s="234"/>
      <c r="O93" s="234"/>
      <c r="P93" s="234"/>
      <c r="Q93" s="234"/>
      <c r="R93" s="234"/>
    </row>
    <row r="94" spans="1:18" ht="12.75" hidden="1" customHeight="1" x14ac:dyDescent="0.2">
      <c r="A94" s="234"/>
      <c r="B94" s="234"/>
      <c r="C94" s="234"/>
      <c r="D94" s="234"/>
      <c r="E94" s="234"/>
      <c r="F94" s="234"/>
      <c r="G94" s="234"/>
      <c r="H94" s="234"/>
      <c r="I94" s="234"/>
      <c r="J94" s="234"/>
      <c r="K94" s="234"/>
      <c r="L94" s="234"/>
      <c r="M94" s="234"/>
      <c r="N94" s="234"/>
      <c r="O94" s="234"/>
      <c r="P94" s="234"/>
      <c r="Q94" s="234"/>
      <c r="R94" s="234"/>
    </row>
    <row r="95" spans="1:18" ht="12.75" hidden="1" customHeight="1" x14ac:dyDescent="0.2">
      <c r="A95" s="234"/>
      <c r="B95" s="234"/>
      <c r="C95" s="234"/>
      <c r="D95" s="234"/>
      <c r="E95" s="234"/>
      <c r="F95" s="234"/>
      <c r="G95" s="234"/>
      <c r="H95" s="234"/>
      <c r="I95" s="234"/>
      <c r="J95" s="234"/>
      <c r="K95" s="234"/>
      <c r="L95" s="234"/>
      <c r="M95" s="234"/>
      <c r="N95" s="234"/>
      <c r="O95" s="234"/>
      <c r="P95" s="234"/>
      <c r="Q95" s="234"/>
      <c r="R95" s="234"/>
    </row>
    <row r="96" spans="1:18" ht="12.75" hidden="1" customHeight="1" x14ac:dyDescent="0.2">
      <c r="A96" s="234"/>
      <c r="B96" s="234"/>
      <c r="C96" s="234"/>
      <c r="D96" s="234"/>
      <c r="E96" s="234"/>
      <c r="F96" s="234"/>
      <c r="G96" s="234"/>
      <c r="H96" s="234"/>
      <c r="I96" s="234"/>
      <c r="J96" s="234"/>
      <c r="K96" s="234"/>
      <c r="L96" s="234"/>
      <c r="M96" s="234"/>
      <c r="N96" s="234"/>
      <c r="O96" s="234"/>
      <c r="P96" s="234"/>
      <c r="Q96" s="234"/>
      <c r="R96" s="234"/>
    </row>
    <row r="97" spans="1:18" ht="12.75" hidden="1" customHeight="1" x14ac:dyDescent="0.2">
      <c r="A97" s="234"/>
      <c r="B97" s="234"/>
      <c r="C97" s="234"/>
      <c r="D97" s="234"/>
      <c r="E97" s="234"/>
      <c r="F97" s="234"/>
      <c r="G97" s="234"/>
      <c r="H97" s="234"/>
      <c r="I97" s="234"/>
      <c r="J97" s="234"/>
      <c r="K97" s="234"/>
      <c r="L97" s="234"/>
      <c r="M97" s="234"/>
      <c r="N97" s="234"/>
      <c r="O97" s="234"/>
      <c r="P97" s="234"/>
      <c r="Q97" s="234"/>
      <c r="R97" s="234"/>
    </row>
    <row r="98" spans="1:18" ht="12.75" hidden="1" customHeight="1" x14ac:dyDescent="0.2">
      <c r="A98" s="234"/>
      <c r="B98" s="234"/>
      <c r="C98" s="234"/>
      <c r="D98" s="234"/>
      <c r="E98" s="234"/>
      <c r="F98" s="234"/>
      <c r="G98" s="234"/>
      <c r="H98" s="234"/>
      <c r="I98" s="234"/>
      <c r="J98" s="234"/>
      <c r="K98" s="234"/>
      <c r="L98" s="234"/>
      <c r="M98" s="234"/>
      <c r="N98" s="234"/>
      <c r="O98" s="234"/>
      <c r="P98" s="234"/>
      <c r="Q98" s="234"/>
      <c r="R98" s="234"/>
    </row>
    <row r="99" spans="1:18" ht="12.75" hidden="1" customHeight="1" x14ac:dyDescent="0.2">
      <c r="A99" s="234"/>
      <c r="B99" s="234"/>
      <c r="C99" s="234"/>
      <c r="D99" s="234"/>
      <c r="E99" s="234"/>
      <c r="F99" s="234"/>
      <c r="G99" s="234"/>
      <c r="H99" s="234"/>
      <c r="I99" s="234"/>
      <c r="J99" s="234"/>
      <c r="K99" s="234"/>
      <c r="L99" s="234"/>
      <c r="M99" s="234"/>
      <c r="N99" s="234"/>
      <c r="O99" s="234"/>
      <c r="P99" s="234"/>
      <c r="Q99" s="234"/>
      <c r="R99" s="234"/>
    </row>
    <row r="100" spans="1:18" ht="12.75" hidden="1" customHeight="1" x14ac:dyDescent="0.2">
      <c r="A100" s="234"/>
      <c r="B100" s="234"/>
      <c r="C100" s="234"/>
      <c r="D100" s="234"/>
      <c r="E100" s="234"/>
      <c r="F100" s="234"/>
      <c r="G100" s="234"/>
      <c r="H100" s="234"/>
      <c r="I100" s="234"/>
      <c r="J100" s="234"/>
      <c r="K100" s="234"/>
      <c r="L100" s="234"/>
      <c r="M100" s="234"/>
      <c r="N100" s="234"/>
      <c r="O100" s="234"/>
      <c r="P100" s="234"/>
      <c r="Q100" s="234"/>
      <c r="R100" s="234"/>
    </row>
    <row r="101" spans="1:18" ht="12.75" hidden="1" customHeight="1" x14ac:dyDescent="0.2">
      <c r="A101" s="234"/>
      <c r="B101" s="234"/>
      <c r="C101" s="234"/>
      <c r="D101" s="234"/>
      <c r="E101" s="234"/>
      <c r="F101" s="234"/>
      <c r="G101" s="234"/>
      <c r="H101" s="234"/>
      <c r="I101" s="234"/>
      <c r="J101" s="234"/>
      <c r="K101" s="234"/>
      <c r="L101" s="234"/>
      <c r="M101" s="234"/>
      <c r="N101" s="234"/>
      <c r="O101" s="234"/>
      <c r="P101" s="234"/>
      <c r="Q101" s="234"/>
      <c r="R101" s="234"/>
    </row>
    <row r="102" spans="1:18" ht="12.75" hidden="1" customHeight="1" x14ac:dyDescent="0.2">
      <c r="A102" s="234"/>
      <c r="B102" s="234"/>
      <c r="C102" s="234"/>
      <c r="D102" s="234"/>
      <c r="E102" s="234"/>
      <c r="F102" s="234"/>
      <c r="G102" s="234"/>
      <c r="H102" s="234"/>
      <c r="I102" s="234"/>
      <c r="J102" s="234"/>
      <c r="K102" s="234"/>
      <c r="L102" s="234"/>
      <c r="M102" s="234"/>
      <c r="N102" s="234"/>
      <c r="O102" s="234"/>
      <c r="P102" s="234"/>
      <c r="Q102" s="234"/>
      <c r="R102" s="234"/>
    </row>
    <row r="103" spans="1:18" ht="12.75" hidden="1" customHeight="1" x14ac:dyDescent="0.2">
      <c r="A103" s="234"/>
      <c r="B103" s="234"/>
      <c r="C103" s="234"/>
      <c r="D103" s="234"/>
      <c r="E103" s="234"/>
      <c r="F103" s="234"/>
      <c r="G103" s="234"/>
      <c r="H103" s="234"/>
      <c r="I103" s="234"/>
      <c r="J103" s="234"/>
      <c r="K103" s="234"/>
      <c r="L103" s="234"/>
      <c r="M103" s="234"/>
      <c r="N103" s="234"/>
      <c r="O103" s="234"/>
      <c r="P103" s="234"/>
      <c r="Q103" s="234"/>
      <c r="R103" s="234"/>
    </row>
    <row r="104" spans="1:18" ht="12.75" hidden="1" customHeight="1" x14ac:dyDescent="0.2">
      <c r="A104" s="234"/>
      <c r="B104" s="234"/>
      <c r="C104" s="234"/>
      <c r="D104" s="234"/>
      <c r="E104" s="234"/>
      <c r="F104" s="234"/>
      <c r="G104" s="234"/>
      <c r="H104" s="234"/>
      <c r="I104" s="234"/>
      <c r="J104" s="234"/>
      <c r="K104" s="234"/>
      <c r="L104" s="234"/>
      <c r="M104" s="234"/>
      <c r="N104" s="234"/>
      <c r="O104" s="234"/>
      <c r="P104" s="234"/>
      <c r="Q104" s="234"/>
      <c r="R104" s="234"/>
    </row>
    <row r="105" spans="1:18" ht="12.75" hidden="1" customHeight="1" x14ac:dyDescent="0.2">
      <c r="A105" s="234"/>
      <c r="B105" s="234"/>
      <c r="C105" s="234"/>
      <c r="D105" s="234"/>
      <c r="E105" s="234"/>
      <c r="F105" s="234"/>
      <c r="G105" s="234"/>
      <c r="H105" s="234"/>
      <c r="I105" s="234"/>
      <c r="J105" s="234"/>
      <c r="K105" s="234"/>
      <c r="L105" s="234"/>
      <c r="M105" s="234"/>
      <c r="N105" s="234"/>
      <c r="O105" s="234"/>
      <c r="P105" s="234"/>
      <c r="Q105" s="234"/>
      <c r="R105" s="234"/>
    </row>
    <row r="106" spans="1:18" ht="12.75" hidden="1" customHeight="1" x14ac:dyDescent="0.2">
      <c r="A106" s="234"/>
      <c r="B106" s="234"/>
      <c r="C106" s="234"/>
      <c r="D106" s="234"/>
      <c r="E106" s="234"/>
      <c r="F106" s="234"/>
      <c r="G106" s="234"/>
      <c r="H106" s="234"/>
      <c r="I106" s="234"/>
      <c r="J106" s="234"/>
      <c r="K106" s="234"/>
      <c r="L106" s="234"/>
      <c r="M106" s="234"/>
      <c r="N106" s="234"/>
      <c r="O106" s="234"/>
      <c r="P106" s="234"/>
      <c r="Q106" s="234"/>
      <c r="R106" s="234"/>
    </row>
    <row r="107" spans="1:18" ht="12.75" hidden="1" customHeight="1" x14ac:dyDescent="0.2">
      <c r="A107" s="234"/>
      <c r="B107" s="234"/>
      <c r="C107" s="234"/>
      <c r="D107" s="234"/>
      <c r="E107" s="234"/>
      <c r="F107" s="234"/>
      <c r="G107" s="234"/>
      <c r="H107" s="234"/>
      <c r="I107" s="234"/>
      <c r="J107" s="234"/>
      <c r="K107" s="234"/>
      <c r="L107" s="234"/>
      <c r="M107" s="234"/>
      <c r="N107" s="234"/>
      <c r="O107" s="234"/>
      <c r="P107" s="234"/>
      <c r="Q107" s="234"/>
      <c r="R107" s="234"/>
    </row>
    <row r="108" spans="1:18" ht="12.75" hidden="1" customHeight="1" x14ac:dyDescent="0.2">
      <c r="A108" s="234"/>
      <c r="B108" s="234"/>
      <c r="C108" s="234"/>
      <c r="D108" s="234"/>
      <c r="E108" s="234"/>
      <c r="F108" s="234"/>
      <c r="G108" s="234"/>
      <c r="H108" s="234"/>
      <c r="I108" s="234"/>
      <c r="J108" s="234"/>
      <c r="K108" s="234"/>
      <c r="L108" s="234"/>
      <c r="M108" s="234"/>
      <c r="N108" s="234"/>
      <c r="O108" s="234"/>
      <c r="P108" s="234"/>
      <c r="Q108" s="234"/>
      <c r="R108" s="234"/>
    </row>
    <row r="109" spans="1:18" ht="12.75" hidden="1" customHeight="1" x14ac:dyDescent="0.2">
      <c r="A109" s="234"/>
      <c r="B109" s="234"/>
      <c r="C109" s="234"/>
      <c r="D109" s="234"/>
      <c r="E109" s="234"/>
      <c r="F109" s="234"/>
      <c r="G109" s="234"/>
      <c r="H109" s="234"/>
      <c r="I109" s="234"/>
      <c r="J109" s="234"/>
      <c r="K109" s="234"/>
      <c r="L109" s="234"/>
      <c r="M109" s="234"/>
      <c r="N109" s="234"/>
      <c r="O109" s="234"/>
      <c r="P109" s="234"/>
      <c r="Q109" s="234"/>
      <c r="R109" s="234"/>
    </row>
    <row r="110" spans="1:18" ht="12.75" hidden="1" customHeight="1" x14ac:dyDescent="0.2">
      <c r="A110" s="234"/>
      <c r="B110" s="234"/>
      <c r="C110" s="234"/>
      <c r="D110" s="234"/>
      <c r="E110" s="234"/>
      <c r="F110" s="234"/>
      <c r="G110" s="234"/>
      <c r="H110" s="234"/>
      <c r="I110" s="234"/>
      <c r="J110" s="234"/>
      <c r="K110" s="234"/>
      <c r="L110" s="234"/>
      <c r="M110" s="234"/>
      <c r="N110" s="234"/>
      <c r="O110" s="234"/>
      <c r="P110" s="234"/>
      <c r="Q110" s="234"/>
      <c r="R110" s="234"/>
    </row>
    <row r="111" spans="1:18" ht="12.75" hidden="1" customHeight="1" x14ac:dyDescent="0.2">
      <c r="A111" s="234"/>
      <c r="B111" s="234"/>
      <c r="C111" s="234"/>
      <c r="D111" s="234"/>
      <c r="E111" s="234"/>
      <c r="F111" s="234"/>
      <c r="G111" s="234"/>
      <c r="H111" s="234"/>
      <c r="I111" s="234"/>
      <c r="J111" s="234"/>
      <c r="K111" s="234"/>
      <c r="L111" s="234"/>
      <c r="M111" s="234"/>
      <c r="N111" s="234"/>
      <c r="O111" s="234"/>
      <c r="P111" s="234"/>
      <c r="Q111" s="234"/>
      <c r="R111" s="234"/>
    </row>
    <row r="112" spans="1:18" ht="12.75" hidden="1" customHeight="1" x14ac:dyDescent="0.2">
      <c r="A112" s="234"/>
      <c r="B112" s="234"/>
      <c r="C112" s="234"/>
      <c r="D112" s="234"/>
      <c r="E112" s="234"/>
      <c r="F112" s="234"/>
      <c r="G112" s="234"/>
      <c r="H112" s="234"/>
      <c r="I112" s="234"/>
      <c r="J112" s="234"/>
      <c r="K112" s="234"/>
      <c r="L112" s="234"/>
      <c r="M112" s="234"/>
      <c r="N112" s="234"/>
      <c r="O112" s="234"/>
      <c r="P112" s="234"/>
      <c r="Q112" s="234"/>
      <c r="R112" s="234"/>
    </row>
    <row r="113" spans="1:18" ht="12.75" hidden="1" customHeight="1" x14ac:dyDescent="0.2">
      <c r="A113" s="234"/>
      <c r="B113" s="234"/>
      <c r="C113" s="234"/>
      <c r="D113" s="234"/>
      <c r="E113" s="234"/>
      <c r="F113" s="234"/>
      <c r="G113" s="234"/>
      <c r="H113" s="234"/>
      <c r="I113" s="234"/>
      <c r="J113" s="234"/>
      <c r="K113" s="234"/>
      <c r="L113" s="234"/>
      <c r="M113" s="234"/>
      <c r="N113" s="234"/>
      <c r="O113" s="234"/>
      <c r="P113" s="234"/>
      <c r="Q113" s="234"/>
      <c r="R113" s="234"/>
    </row>
    <row r="114" spans="1:18" ht="12.75" hidden="1" customHeight="1" x14ac:dyDescent="0.2">
      <c r="A114" s="234"/>
      <c r="B114" s="234"/>
      <c r="C114" s="234"/>
      <c r="D114" s="234"/>
      <c r="E114" s="234"/>
      <c r="F114" s="234"/>
      <c r="G114" s="234"/>
      <c r="H114" s="234"/>
      <c r="I114" s="234"/>
      <c r="J114" s="234"/>
      <c r="K114" s="234"/>
      <c r="L114" s="234"/>
      <c r="M114" s="234"/>
      <c r="N114" s="234"/>
      <c r="O114" s="234"/>
      <c r="P114" s="234"/>
      <c r="Q114" s="234"/>
      <c r="R114" s="234"/>
    </row>
    <row r="115" spans="1:18" ht="12.75" hidden="1" customHeight="1" x14ac:dyDescent="0.2">
      <c r="A115" s="234"/>
      <c r="B115" s="234"/>
      <c r="C115" s="234"/>
      <c r="D115" s="234"/>
      <c r="E115" s="234"/>
      <c r="F115" s="234"/>
      <c r="G115" s="234"/>
      <c r="H115" s="234"/>
      <c r="I115" s="234"/>
      <c r="J115" s="234"/>
      <c r="K115" s="234"/>
      <c r="L115" s="234"/>
      <c r="M115" s="234"/>
      <c r="N115" s="234"/>
      <c r="O115" s="234"/>
      <c r="P115" s="234"/>
      <c r="Q115" s="234"/>
      <c r="R115" s="234"/>
    </row>
    <row r="116" spans="1:18" ht="12.75" hidden="1" customHeight="1" x14ac:dyDescent="0.2">
      <c r="A116" s="234"/>
      <c r="B116" s="234"/>
      <c r="C116" s="234"/>
      <c r="D116" s="234"/>
      <c r="E116" s="234"/>
      <c r="F116" s="234"/>
      <c r="G116" s="234"/>
      <c r="H116" s="234"/>
      <c r="I116" s="234"/>
      <c r="J116" s="234"/>
      <c r="K116" s="234"/>
      <c r="L116" s="234"/>
      <c r="M116" s="234"/>
      <c r="N116" s="234"/>
      <c r="O116" s="234"/>
      <c r="P116" s="234"/>
      <c r="Q116" s="234"/>
      <c r="R116" s="234"/>
    </row>
    <row r="117" spans="1:18" ht="12.75" hidden="1" customHeight="1" x14ac:dyDescent="0.2">
      <c r="A117" s="234"/>
      <c r="B117" s="234"/>
      <c r="C117" s="234"/>
      <c r="D117" s="234"/>
      <c r="E117" s="234"/>
      <c r="F117" s="234"/>
      <c r="G117" s="234"/>
      <c r="H117" s="234"/>
      <c r="I117" s="234"/>
      <c r="J117" s="234"/>
      <c r="K117" s="234"/>
      <c r="L117" s="234"/>
      <c r="M117" s="234"/>
      <c r="N117" s="234"/>
      <c r="O117" s="234"/>
      <c r="P117" s="234"/>
      <c r="Q117" s="234"/>
      <c r="R117" s="234"/>
    </row>
    <row r="118" spans="1:18" ht="12.75" hidden="1" customHeight="1" x14ac:dyDescent="0.2">
      <c r="A118" s="234"/>
      <c r="B118" s="234"/>
      <c r="C118" s="234"/>
      <c r="D118" s="234"/>
      <c r="E118" s="234"/>
      <c r="F118" s="234"/>
      <c r="G118" s="234"/>
      <c r="H118" s="234"/>
      <c r="I118" s="234"/>
      <c r="J118" s="234"/>
      <c r="K118" s="234"/>
      <c r="L118" s="234"/>
      <c r="M118" s="234"/>
      <c r="N118" s="234"/>
      <c r="O118" s="234"/>
      <c r="P118" s="234"/>
      <c r="Q118" s="234"/>
      <c r="R118" s="234"/>
    </row>
    <row r="119" spans="1:18" ht="12.75" hidden="1" customHeight="1" x14ac:dyDescent="0.2">
      <c r="A119" s="234"/>
      <c r="B119" s="234"/>
      <c r="C119" s="234"/>
      <c r="D119" s="234"/>
      <c r="E119" s="234"/>
      <c r="F119" s="234"/>
      <c r="G119" s="234"/>
      <c r="H119" s="234"/>
      <c r="I119" s="234"/>
      <c r="J119" s="234"/>
      <c r="K119" s="234"/>
      <c r="L119" s="234"/>
      <c r="M119" s="234"/>
      <c r="N119" s="234"/>
      <c r="O119" s="234"/>
      <c r="P119" s="234"/>
      <c r="Q119" s="234"/>
      <c r="R119" s="234"/>
    </row>
    <row r="120" spans="1:18" ht="12.75" hidden="1" customHeight="1" x14ac:dyDescent="0.2">
      <c r="A120" s="234"/>
      <c r="B120" s="234"/>
      <c r="C120" s="234"/>
      <c r="D120" s="234"/>
      <c r="E120" s="234"/>
      <c r="F120" s="234"/>
      <c r="G120" s="234"/>
      <c r="H120" s="234"/>
      <c r="I120" s="234"/>
      <c r="J120" s="234"/>
      <c r="K120" s="234"/>
      <c r="L120" s="234"/>
      <c r="M120" s="234"/>
      <c r="N120" s="234"/>
      <c r="O120" s="234"/>
      <c r="P120" s="234"/>
      <c r="Q120" s="234"/>
      <c r="R120" s="234"/>
    </row>
    <row r="121" spans="1:18" ht="12.75" hidden="1" customHeight="1" x14ac:dyDescent="0.2">
      <c r="A121" s="234"/>
      <c r="B121" s="234"/>
      <c r="C121" s="234"/>
      <c r="D121" s="234"/>
      <c r="E121" s="234"/>
      <c r="F121" s="234"/>
      <c r="G121" s="234"/>
      <c r="H121" s="234"/>
      <c r="I121" s="234"/>
      <c r="J121" s="234"/>
      <c r="K121" s="234"/>
      <c r="L121" s="234"/>
      <c r="M121" s="234"/>
      <c r="N121" s="234"/>
      <c r="O121" s="234"/>
      <c r="P121" s="234"/>
      <c r="Q121" s="234"/>
      <c r="R121" s="234"/>
    </row>
    <row r="122" spans="1:18" ht="12.75" hidden="1" customHeight="1" x14ac:dyDescent="0.2">
      <c r="A122" s="234"/>
      <c r="B122" s="234"/>
      <c r="C122" s="234"/>
      <c r="D122" s="234"/>
      <c r="E122" s="234"/>
      <c r="F122" s="234"/>
      <c r="G122" s="234"/>
      <c r="H122" s="234"/>
      <c r="I122" s="234"/>
      <c r="J122" s="234"/>
      <c r="K122" s="234"/>
      <c r="L122" s="234"/>
      <c r="M122" s="234"/>
      <c r="N122" s="234"/>
      <c r="O122" s="234"/>
      <c r="P122" s="234"/>
      <c r="Q122" s="234"/>
      <c r="R122" s="234"/>
    </row>
    <row r="123" spans="1:18" ht="12.75" hidden="1" customHeight="1" x14ac:dyDescent="0.2">
      <c r="A123" s="234"/>
      <c r="B123" s="234"/>
      <c r="C123" s="234"/>
      <c r="D123" s="234"/>
      <c r="E123" s="234"/>
      <c r="F123" s="234"/>
      <c r="G123" s="234"/>
      <c r="H123" s="234"/>
      <c r="I123" s="234"/>
      <c r="J123" s="234"/>
      <c r="K123" s="234"/>
      <c r="L123" s="234"/>
      <c r="M123" s="234"/>
      <c r="N123" s="234"/>
      <c r="O123" s="234"/>
      <c r="P123" s="234"/>
      <c r="Q123" s="234"/>
      <c r="R123" s="234"/>
    </row>
    <row r="124" spans="1:18" ht="12.75" hidden="1" customHeight="1" x14ac:dyDescent="0.2">
      <c r="A124" s="234"/>
      <c r="B124" s="234"/>
      <c r="C124" s="234"/>
      <c r="D124" s="234"/>
      <c r="E124" s="234"/>
      <c r="F124" s="234"/>
      <c r="G124" s="234"/>
      <c r="H124" s="234"/>
      <c r="I124" s="234"/>
      <c r="J124" s="234"/>
      <c r="K124" s="234"/>
      <c r="L124" s="234"/>
      <c r="M124" s="234"/>
      <c r="N124" s="234"/>
      <c r="O124" s="234"/>
      <c r="P124" s="234"/>
      <c r="Q124" s="234"/>
      <c r="R124" s="234"/>
    </row>
    <row r="125" spans="1:18" ht="12.75" hidden="1" customHeight="1" x14ac:dyDescent="0.2">
      <c r="A125" s="234"/>
      <c r="B125" s="234"/>
      <c r="C125" s="234"/>
      <c r="D125" s="234"/>
      <c r="E125" s="234"/>
      <c r="F125" s="234"/>
      <c r="G125" s="234"/>
      <c r="H125" s="234"/>
      <c r="I125" s="234"/>
      <c r="J125" s="234"/>
      <c r="K125" s="234"/>
      <c r="L125" s="234"/>
      <c r="M125" s="234"/>
      <c r="N125" s="234"/>
      <c r="O125" s="234"/>
      <c r="P125" s="234"/>
      <c r="Q125" s="234"/>
      <c r="R125" s="234"/>
    </row>
    <row r="126" spans="1:18" ht="12.75" hidden="1" customHeight="1" x14ac:dyDescent="0.2">
      <c r="A126" s="234"/>
      <c r="B126" s="234"/>
      <c r="C126" s="234"/>
      <c r="D126" s="234"/>
      <c r="E126" s="234"/>
      <c r="F126" s="234"/>
      <c r="G126" s="234"/>
      <c r="H126" s="234"/>
      <c r="I126" s="234"/>
      <c r="J126" s="234"/>
      <c r="K126" s="234"/>
      <c r="L126" s="234"/>
      <c r="M126" s="234"/>
      <c r="N126" s="234"/>
      <c r="O126" s="234"/>
      <c r="P126" s="234"/>
      <c r="Q126" s="234"/>
      <c r="R126" s="234"/>
    </row>
    <row r="127" spans="1:18" ht="12.75" hidden="1" customHeight="1" x14ac:dyDescent="0.2">
      <c r="A127" s="234"/>
      <c r="B127" s="234"/>
      <c r="C127" s="234"/>
      <c r="D127" s="234"/>
      <c r="E127" s="234"/>
      <c r="F127" s="234"/>
      <c r="G127" s="234"/>
      <c r="H127" s="234"/>
      <c r="I127" s="234"/>
      <c r="J127" s="234"/>
      <c r="K127" s="234"/>
      <c r="L127" s="234"/>
      <c r="M127" s="234"/>
      <c r="N127" s="234"/>
      <c r="O127" s="234"/>
      <c r="P127" s="234"/>
      <c r="Q127" s="234"/>
      <c r="R127" s="234"/>
    </row>
    <row r="128" spans="1:18" ht="12.75" hidden="1" customHeight="1" x14ac:dyDescent="0.2">
      <c r="A128" s="234"/>
      <c r="B128" s="234"/>
      <c r="C128" s="234"/>
      <c r="D128" s="234"/>
      <c r="E128" s="234"/>
      <c r="F128" s="234"/>
      <c r="G128" s="234"/>
      <c r="H128" s="234"/>
      <c r="I128" s="234"/>
      <c r="J128" s="234"/>
      <c r="K128" s="234"/>
      <c r="L128" s="234"/>
      <c r="M128" s="234"/>
      <c r="N128" s="234"/>
      <c r="O128" s="234"/>
      <c r="P128" s="234"/>
      <c r="Q128" s="234"/>
      <c r="R128" s="234"/>
    </row>
    <row r="129" spans="1:18" ht="12.75" hidden="1" customHeight="1" x14ac:dyDescent="0.2">
      <c r="A129" s="234"/>
      <c r="B129" s="234"/>
      <c r="C129" s="234"/>
      <c r="D129" s="234"/>
      <c r="E129" s="234"/>
      <c r="F129" s="234"/>
      <c r="G129" s="234"/>
      <c r="H129" s="234"/>
      <c r="I129" s="234"/>
      <c r="J129" s="234"/>
      <c r="K129" s="234"/>
      <c r="L129" s="234"/>
      <c r="M129" s="234"/>
      <c r="N129" s="234"/>
      <c r="O129" s="234"/>
      <c r="P129" s="234"/>
      <c r="Q129" s="234"/>
      <c r="R129" s="234"/>
    </row>
    <row r="130" spans="1:18" ht="12.75" hidden="1" customHeight="1" x14ac:dyDescent="0.2">
      <c r="A130" s="234"/>
      <c r="B130" s="234"/>
      <c r="C130" s="234"/>
      <c r="D130" s="234"/>
      <c r="E130" s="234"/>
      <c r="F130" s="234"/>
      <c r="G130" s="234"/>
      <c r="H130" s="234"/>
      <c r="I130" s="234"/>
      <c r="J130" s="234"/>
      <c r="K130" s="234"/>
      <c r="L130" s="234"/>
      <c r="M130" s="234"/>
      <c r="N130" s="234"/>
      <c r="O130" s="234"/>
      <c r="P130" s="234"/>
      <c r="Q130" s="234"/>
      <c r="R130" s="234"/>
    </row>
    <row r="131" spans="1:18" ht="12.75" hidden="1" customHeight="1" x14ac:dyDescent="0.2">
      <c r="A131" s="234"/>
      <c r="B131" s="234"/>
      <c r="C131" s="234"/>
      <c r="D131" s="234"/>
      <c r="E131" s="234"/>
      <c r="F131" s="234"/>
      <c r="G131" s="234"/>
      <c r="H131" s="234"/>
      <c r="I131" s="234"/>
      <c r="J131" s="234"/>
      <c r="K131" s="234"/>
      <c r="L131" s="234"/>
      <c r="M131" s="234"/>
      <c r="N131" s="234"/>
      <c r="O131" s="234"/>
      <c r="P131" s="234"/>
      <c r="Q131" s="234"/>
      <c r="R131" s="234"/>
    </row>
    <row r="132" spans="1:18" ht="12.75" hidden="1" customHeight="1" x14ac:dyDescent="0.2">
      <c r="A132" s="234"/>
      <c r="B132" s="234"/>
      <c r="C132" s="234"/>
      <c r="D132" s="234"/>
      <c r="E132" s="234"/>
      <c r="F132" s="234"/>
      <c r="G132" s="234"/>
      <c r="H132" s="234"/>
      <c r="I132" s="234"/>
      <c r="J132" s="234"/>
      <c r="K132" s="234"/>
      <c r="L132" s="234"/>
      <c r="M132" s="234"/>
      <c r="N132" s="234"/>
      <c r="O132" s="234"/>
      <c r="P132" s="234"/>
      <c r="Q132" s="234"/>
      <c r="R132" s="234"/>
    </row>
    <row r="133" spans="1:18" ht="12.75" hidden="1" customHeight="1" x14ac:dyDescent="0.2">
      <c r="A133" s="234"/>
      <c r="B133" s="234"/>
      <c r="C133" s="234"/>
      <c r="D133" s="234"/>
      <c r="E133" s="234"/>
      <c r="F133" s="234"/>
      <c r="G133" s="234"/>
      <c r="H133" s="234"/>
      <c r="I133" s="234"/>
      <c r="J133" s="234"/>
      <c r="K133" s="234"/>
      <c r="L133" s="234"/>
      <c r="M133" s="234"/>
      <c r="N133" s="234"/>
      <c r="O133" s="234"/>
      <c r="P133" s="234"/>
      <c r="Q133" s="234"/>
      <c r="R133" s="234"/>
    </row>
    <row r="134" spans="1:18" ht="12.75" hidden="1" customHeight="1" x14ac:dyDescent="0.2">
      <c r="A134" s="234"/>
      <c r="B134" s="234"/>
      <c r="C134" s="234"/>
      <c r="D134" s="234"/>
      <c r="E134" s="234"/>
      <c r="F134" s="234"/>
      <c r="G134" s="234"/>
      <c r="H134" s="234"/>
      <c r="I134" s="234"/>
      <c r="J134" s="234"/>
      <c r="K134" s="234"/>
      <c r="L134" s="234"/>
      <c r="M134" s="234"/>
      <c r="N134" s="234"/>
      <c r="O134" s="234"/>
      <c r="P134" s="234"/>
      <c r="Q134" s="234"/>
      <c r="R134" s="234"/>
    </row>
    <row r="135" spans="1:18" ht="12.75" hidden="1" customHeight="1" x14ac:dyDescent="0.2">
      <c r="A135" s="234"/>
      <c r="B135" s="234"/>
      <c r="C135" s="234"/>
      <c r="D135" s="234"/>
      <c r="E135" s="234"/>
      <c r="F135" s="234"/>
      <c r="G135" s="234"/>
      <c r="H135" s="234"/>
      <c r="I135" s="234"/>
      <c r="J135" s="234"/>
      <c r="K135" s="234"/>
      <c r="L135" s="234"/>
      <c r="M135" s="234"/>
      <c r="N135" s="234"/>
      <c r="O135" s="234"/>
      <c r="P135" s="234"/>
      <c r="Q135" s="234"/>
      <c r="R135" s="234"/>
    </row>
    <row r="136" spans="1:18" ht="12.75" hidden="1" customHeight="1" x14ac:dyDescent="0.2">
      <c r="A136" s="234"/>
      <c r="B136" s="234"/>
      <c r="C136" s="234"/>
      <c r="D136" s="234"/>
      <c r="E136" s="234"/>
      <c r="F136" s="234"/>
      <c r="G136" s="234"/>
      <c r="H136" s="234"/>
      <c r="I136" s="234"/>
      <c r="J136" s="234"/>
      <c r="K136" s="234"/>
      <c r="L136" s="234"/>
      <c r="M136" s="234"/>
      <c r="N136" s="234"/>
      <c r="O136" s="234"/>
      <c r="P136" s="234"/>
      <c r="Q136" s="234"/>
      <c r="R136" s="234"/>
    </row>
    <row r="137" spans="1:18" ht="12.75" hidden="1" customHeight="1" x14ac:dyDescent="0.2">
      <c r="A137" s="234"/>
      <c r="B137" s="234"/>
      <c r="C137" s="234"/>
      <c r="D137" s="234"/>
      <c r="E137" s="234"/>
      <c r="F137" s="234"/>
      <c r="G137" s="234"/>
      <c r="H137" s="234"/>
      <c r="I137" s="234"/>
      <c r="J137" s="234"/>
      <c r="K137" s="234"/>
      <c r="L137" s="234"/>
      <c r="M137" s="234"/>
      <c r="N137" s="234"/>
      <c r="O137" s="234"/>
      <c r="P137" s="234"/>
      <c r="Q137" s="234"/>
      <c r="R137" s="234"/>
    </row>
    <row r="138" spans="1:18" ht="12.75" hidden="1" customHeight="1" x14ac:dyDescent="0.2">
      <c r="A138" s="234"/>
      <c r="B138" s="234"/>
      <c r="C138" s="234"/>
      <c r="D138" s="234"/>
      <c r="E138" s="234"/>
      <c r="F138" s="234"/>
      <c r="G138" s="234"/>
      <c r="H138" s="234"/>
      <c r="I138" s="234"/>
      <c r="J138" s="234"/>
      <c r="K138" s="234"/>
      <c r="L138" s="234"/>
      <c r="M138" s="234"/>
      <c r="N138" s="234"/>
      <c r="O138" s="234"/>
      <c r="P138" s="234"/>
      <c r="Q138" s="234"/>
      <c r="R138" s="234"/>
    </row>
    <row r="139" spans="1:18" ht="12.75" hidden="1" customHeight="1" x14ac:dyDescent="0.2">
      <c r="A139" s="234"/>
      <c r="B139" s="234"/>
      <c r="C139" s="234"/>
      <c r="D139" s="234"/>
      <c r="E139" s="234"/>
      <c r="F139" s="234"/>
      <c r="G139" s="234"/>
      <c r="H139" s="234"/>
      <c r="I139" s="234"/>
      <c r="J139" s="234"/>
      <c r="K139" s="234"/>
      <c r="L139" s="234"/>
      <c r="M139" s="234"/>
      <c r="N139" s="234"/>
      <c r="O139" s="234"/>
      <c r="P139" s="234"/>
      <c r="Q139" s="234"/>
      <c r="R139" s="234"/>
    </row>
    <row r="140" spans="1:18" ht="12.75" hidden="1" customHeight="1" x14ac:dyDescent="0.2">
      <c r="A140" s="234"/>
      <c r="B140" s="234"/>
      <c r="C140" s="234"/>
      <c r="D140" s="234"/>
      <c r="E140" s="234"/>
      <c r="F140" s="234"/>
      <c r="G140" s="234"/>
      <c r="H140" s="234"/>
      <c r="I140" s="234"/>
      <c r="J140" s="234"/>
      <c r="K140" s="234"/>
      <c r="L140" s="234"/>
      <c r="M140" s="234"/>
      <c r="N140" s="234"/>
      <c r="O140" s="234"/>
      <c r="P140" s="234"/>
      <c r="Q140" s="234"/>
      <c r="R140" s="234"/>
    </row>
    <row r="141" spans="1:18" ht="12.75" hidden="1" customHeight="1" x14ac:dyDescent="0.2">
      <c r="A141" s="234"/>
      <c r="B141" s="234"/>
      <c r="C141" s="234"/>
      <c r="D141" s="234"/>
      <c r="E141" s="234"/>
      <c r="F141" s="234"/>
      <c r="G141" s="234"/>
      <c r="H141" s="234"/>
      <c r="I141" s="234"/>
      <c r="J141" s="234"/>
      <c r="K141" s="234"/>
      <c r="L141" s="234"/>
      <c r="M141" s="234"/>
      <c r="N141" s="234"/>
      <c r="O141" s="234"/>
      <c r="P141" s="234"/>
      <c r="Q141" s="234"/>
      <c r="R141" s="234"/>
    </row>
    <row r="142" spans="1:18" ht="12.75" hidden="1" customHeight="1" x14ac:dyDescent="0.2">
      <c r="A142" s="234"/>
      <c r="B142" s="234"/>
      <c r="C142" s="234"/>
      <c r="D142" s="234"/>
      <c r="E142" s="234"/>
      <c r="F142" s="234"/>
      <c r="G142" s="234"/>
      <c r="H142" s="234"/>
      <c r="I142" s="234"/>
      <c r="J142" s="234"/>
      <c r="K142" s="234"/>
      <c r="L142" s="234"/>
      <c r="M142" s="234"/>
      <c r="N142" s="234"/>
      <c r="O142" s="234"/>
      <c r="P142" s="234"/>
      <c r="Q142" s="234"/>
      <c r="R142" s="234"/>
    </row>
    <row r="143" spans="1:18" ht="12.75" hidden="1" customHeight="1" x14ac:dyDescent="0.2">
      <c r="A143" s="234"/>
      <c r="B143" s="234"/>
      <c r="C143" s="234"/>
      <c r="D143" s="234"/>
      <c r="E143" s="234"/>
      <c r="F143" s="234"/>
      <c r="G143" s="234"/>
      <c r="H143" s="234"/>
      <c r="I143" s="234"/>
      <c r="J143" s="234"/>
      <c r="K143" s="234"/>
      <c r="L143" s="234"/>
      <c r="M143" s="234"/>
      <c r="N143" s="234"/>
      <c r="O143" s="234"/>
      <c r="P143" s="234"/>
      <c r="Q143" s="234"/>
      <c r="R143" s="234"/>
    </row>
    <row r="144" spans="1:18" ht="12.75" hidden="1" customHeight="1" x14ac:dyDescent="0.2">
      <c r="A144" s="234"/>
      <c r="B144" s="234"/>
      <c r="C144" s="234"/>
      <c r="D144" s="234"/>
      <c r="E144" s="234"/>
      <c r="F144" s="234"/>
      <c r="G144" s="234"/>
      <c r="H144" s="234"/>
      <c r="I144" s="234"/>
      <c r="J144" s="234"/>
      <c r="K144" s="234"/>
      <c r="L144" s="234"/>
      <c r="M144" s="234"/>
      <c r="N144" s="234"/>
      <c r="O144" s="234"/>
      <c r="P144" s="234"/>
      <c r="Q144" s="234"/>
      <c r="R144" s="234"/>
    </row>
    <row r="145" spans="1:18" ht="12.75" hidden="1" customHeight="1" x14ac:dyDescent="0.2">
      <c r="A145" s="234"/>
      <c r="B145" s="234"/>
      <c r="C145" s="234"/>
      <c r="D145" s="234"/>
      <c r="E145" s="234"/>
      <c r="F145" s="234"/>
      <c r="G145" s="234"/>
      <c r="H145" s="234"/>
      <c r="I145" s="234"/>
      <c r="J145" s="234"/>
      <c r="K145" s="234"/>
      <c r="L145" s="234"/>
      <c r="M145" s="234"/>
      <c r="N145" s="234"/>
      <c r="O145" s="234"/>
      <c r="P145" s="234"/>
      <c r="Q145" s="234"/>
      <c r="R145" s="234"/>
    </row>
    <row r="146" spans="1:18" ht="12.75" hidden="1" customHeight="1" x14ac:dyDescent="0.2">
      <c r="A146" s="234"/>
      <c r="B146" s="234"/>
      <c r="C146" s="234"/>
      <c r="D146" s="234"/>
      <c r="E146" s="234"/>
      <c r="F146" s="234"/>
      <c r="G146" s="234"/>
      <c r="H146" s="234"/>
      <c r="I146" s="234"/>
      <c r="J146" s="234"/>
      <c r="K146" s="234"/>
      <c r="L146" s="234"/>
      <c r="M146" s="234"/>
      <c r="N146" s="234"/>
      <c r="O146" s="234"/>
      <c r="P146" s="234"/>
      <c r="Q146" s="234"/>
      <c r="R146" s="234"/>
    </row>
    <row r="147" spans="1:18" ht="12.75" hidden="1" customHeight="1" x14ac:dyDescent="0.2">
      <c r="A147" s="234"/>
      <c r="B147" s="234"/>
      <c r="C147" s="234"/>
      <c r="D147" s="234"/>
      <c r="E147" s="234"/>
      <c r="F147" s="234"/>
      <c r="G147" s="234"/>
      <c r="H147" s="234"/>
      <c r="I147" s="234"/>
      <c r="J147" s="234"/>
      <c r="K147" s="234"/>
      <c r="L147" s="234"/>
      <c r="M147" s="234"/>
      <c r="N147" s="234"/>
      <c r="O147" s="234"/>
      <c r="P147" s="234"/>
      <c r="Q147" s="234"/>
      <c r="R147" s="234"/>
    </row>
    <row r="148" spans="1:18" ht="12.75" hidden="1" customHeight="1" x14ac:dyDescent="0.2">
      <c r="A148" s="234"/>
      <c r="B148" s="234"/>
      <c r="C148" s="234"/>
      <c r="D148" s="234"/>
      <c r="E148" s="234"/>
      <c r="F148" s="234"/>
      <c r="G148" s="234"/>
      <c r="H148" s="234"/>
      <c r="I148" s="234"/>
      <c r="J148" s="234"/>
      <c r="K148" s="234"/>
      <c r="L148" s="234"/>
      <c r="M148" s="234"/>
      <c r="N148" s="234"/>
      <c r="O148" s="234"/>
      <c r="P148" s="234"/>
      <c r="Q148" s="234"/>
      <c r="R148" s="234"/>
    </row>
    <row r="149" spans="1:18" ht="12.75" hidden="1" customHeight="1" x14ac:dyDescent="0.2">
      <c r="A149" s="234"/>
      <c r="B149" s="234"/>
      <c r="C149" s="234"/>
      <c r="D149" s="234"/>
      <c r="E149" s="234"/>
      <c r="F149" s="234"/>
      <c r="G149" s="234"/>
      <c r="H149" s="234"/>
      <c r="I149" s="234"/>
      <c r="J149" s="234"/>
      <c r="K149" s="234"/>
      <c r="L149" s="234"/>
      <c r="M149" s="234"/>
      <c r="N149" s="234"/>
      <c r="O149" s="234"/>
      <c r="P149" s="234"/>
      <c r="Q149" s="234"/>
      <c r="R149" s="234"/>
    </row>
    <row r="150" spans="1:18" ht="12.75" hidden="1" customHeight="1" x14ac:dyDescent="0.2">
      <c r="A150" s="234"/>
      <c r="B150" s="234"/>
      <c r="C150" s="234"/>
      <c r="D150" s="234"/>
      <c r="E150" s="234"/>
      <c r="F150" s="234"/>
      <c r="G150" s="234"/>
      <c r="H150" s="234"/>
      <c r="I150" s="234"/>
      <c r="J150" s="234"/>
      <c r="K150" s="234"/>
      <c r="L150" s="234"/>
      <c r="M150" s="234"/>
      <c r="N150" s="234"/>
      <c r="O150" s="234"/>
      <c r="P150" s="234"/>
      <c r="Q150" s="234"/>
      <c r="R150" s="234"/>
    </row>
    <row r="151" spans="1:18" ht="12.75" hidden="1" customHeight="1" x14ac:dyDescent="0.2">
      <c r="A151" s="234"/>
      <c r="B151" s="234"/>
      <c r="C151" s="234"/>
      <c r="D151" s="234"/>
      <c r="E151" s="234"/>
      <c r="F151" s="234"/>
      <c r="G151" s="234"/>
      <c r="H151" s="234"/>
      <c r="I151" s="234"/>
      <c r="J151" s="234"/>
      <c r="K151" s="234"/>
      <c r="L151" s="234"/>
      <c r="M151" s="234"/>
      <c r="N151" s="234"/>
      <c r="O151" s="234"/>
      <c r="P151" s="234"/>
      <c r="Q151" s="234"/>
      <c r="R151" s="234"/>
    </row>
    <row r="152" spans="1:18" ht="12.75" hidden="1" customHeight="1" x14ac:dyDescent="0.2">
      <c r="A152" s="234"/>
      <c r="B152" s="234"/>
      <c r="C152" s="234"/>
      <c r="D152" s="234"/>
      <c r="E152" s="234"/>
      <c r="F152" s="234"/>
      <c r="G152" s="234"/>
      <c r="H152" s="234"/>
      <c r="I152" s="234"/>
      <c r="J152" s="234"/>
      <c r="K152" s="234"/>
      <c r="L152" s="234"/>
      <c r="M152" s="234"/>
      <c r="N152" s="234"/>
      <c r="O152" s="234"/>
      <c r="P152" s="234"/>
      <c r="Q152" s="234"/>
      <c r="R152" s="234"/>
    </row>
    <row r="153" spans="1:18" ht="12.75" hidden="1" customHeight="1" x14ac:dyDescent="0.2">
      <c r="A153" s="234"/>
      <c r="B153" s="234"/>
      <c r="C153" s="234"/>
      <c r="D153" s="234"/>
      <c r="E153" s="234"/>
      <c r="F153" s="234"/>
      <c r="G153" s="234"/>
      <c r="H153" s="234"/>
      <c r="I153" s="234"/>
      <c r="J153" s="234"/>
      <c r="K153" s="234"/>
      <c r="L153" s="234"/>
      <c r="M153" s="234"/>
      <c r="N153" s="234"/>
      <c r="O153" s="234"/>
      <c r="P153" s="234"/>
      <c r="Q153" s="234"/>
      <c r="R153" s="234"/>
    </row>
    <row r="154" spans="1:18" ht="12.75" hidden="1" customHeight="1" x14ac:dyDescent="0.2">
      <c r="A154" s="234"/>
      <c r="B154" s="234"/>
      <c r="C154" s="234"/>
      <c r="D154" s="234"/>
      <c r="E154" s="234"/>
      <c r="F154" s="234"/>
      <c r="G154" s="234"/>
      <c r="H154" s="234"/>
      <c r="I154" s="234"/>
      <c r="J154" s="234"/>
      <c r="K154" s="234"/>
      <c r="L154" s="234"/>
      <c r="M154" s="234"/>
      <c r="N154" s="234"/>
      <c r="O154" s="234"/>
      <c r="P154" s="234"/>
      <c r="Q154" s="234"/>
      <c r="R154" s="234"/>
    </row>
    <row r="155" spans="1:18" ht="12.75" hidden="1" customHeight="1" x14ac:dyDescent="0.2">
      <c r="A155" s="234"/>
      <c r="B155" s="234"/>
      <c r="C155" s="234"/>
      <c r="D155" s="234"/>
      <c r="E155" s="234"/>
      <c r="F155" s="234"/>
      <c r="G155" s="234"/>
      <c r="H155" s="234"/>
      <c r="I155" s="234"/>
      <c r="J155" s="234"/>
      <c r="K155" s="234"/>
      <c r="L155" s="234"/>
      <c r="M155" s="234"/>
      <c r="N155" s="234"/>
      <c r="O155" s="234"/>
      <c r="P155" s="234"/>
      <c r="Q155" s="234"/>
      <c r="R155" s="234"/>
    </row>
    <row r="156" spans="1:18" ht="12.75" hidden="1" customHeight="1" x14ac:dyDescent="0.2">
      <c r="A156" s="234"/>
      <c r="B156" s="234"/>
      <c r="C156" s="234"/>
      <c r="D156" s="234"/>
      <c r="E156" s="234"/>
      <c r="F156" s="234"/>
      <c r="G156" s="234"/>
      <c r="H156" s="234"/>
      <c r="I156" s="234"/>
      <c r="J156" s="234"/>
      <c r="K156" s="234"/>
      <c r="L156" s="234"/>
      <c r="M156" s="234"/>
      <c r="N156" s="234"/>
      <c r="O156" s="234"/>
      <c r="P156" s="234"/>
      <c r="Q156" s="234"/>
      <c r="R156" s="234"/>
    </row>
    <row r="157" spans="1:18" ht="12.75" hidden="1" customHeight="1" x14ac:dyDescent="0.2">
      <c r="A157" s="234"/>
      <c r="B157" s="234"/>
      <c r="C157" s="234"/>
      <c r="D157" s="234"/>
      <c r="E157" s="234"/>
      <c r="F157" s="234"/>
      <c r="G157" s="234"/>
      <c r="H157" s="234"/>
      <c r="I157" s="234"/>
      <c r="J157" s="234"/>
      <c r="K157" s="234"/>
      <c r="L157" s="234"/>
      <c r="M157" s="234"/>
      <c r="N157" s="234"/>
      <c r="O157" s="234"/>
      <c r="P157" s="234"/>
      <c r="Q157" s="234"/>
      <c r="R157" s="234"/>
    </row>
    <row r="158" spans="1:18" ht="12.75" hidden="1" customHeight="1" x14ac:dyDescent="0.2">
      <c r="A158" s="234"/>
      <c r="B158" s="234"/>
      <c r="C158" s="234"/>
      <c r="D158" s="234"/>
      <c r="E158" s="234"/>
      <c r="F158" s="234"/>
      <c r="G158" s="234"/>
      <c r="H158" s="234"/>
      <c r="I158" s="234"/>
      <c r="J158" s="234"/>
      <c r="K158" s="234"/>
      <c r="L158" s="234"/>
      <c r="M158" s="234"/>
      <c r="N158" s="234"/>
      <c r="O158" s="234"/>
      <c r="P158" s="234"/>
      <c r="Q158" s="234"/>
      <c r="R158" s="234"/>
    </row>
    <row r="159" spans="1:18" ht="12.75" hidden="1" customHeight="1" x14ac:dyDescent="0.2">
      <c r="A159" s="234"/>
      <c r="B159" s="234"/>
      <c r="C159" s="234"/>
      <c r="D159" s="234"/>
      <c r="E159" s="234"/>
      <c r="F159" s="234"/>
      <c r="G159" s="234"/>
      <c r="H159" s="234"/>
      <c r="I159" s="234"/>
      <c r="J159" s="234"/>
      <c r="K159" s="234"/>
      <c r="L159" s="234"/>
      <c r="M159" s="234"/>
      <c r="N159" s="234"/>
      <c r="O159" s="234"/>
      <c r="P159" s="234"/>
      <c r="Q159" s="234"/>
      <c r="R159" s="234"/>
    </row>
    <row r="160" spans="1:18" ht="12.75" hidden="1" customHeight="1" x14ac:dyDescent="0.2">
      <c r="A160" s="234"/>
      <c r="B160" s="234"/>
      <c r="C160" s="234"/>
      <c r="D160" s="234"/>
      <c r="E160" s="234"/>
      <c r="F160" s="234"/>
      <c r="G160" s="234"/>
      <c r="H160" s="234"/>
      <c r="I160" s="234"/>
      <c r="J160" s="234"/>
      <c r="K160" s="234"/>
      <c r="L160" s="234"/>
      <c r="M160" s="234"/>
      <c r="N160" s="234"/>
      <c r="O160" s="234"/>
      <c r="P160" s="234"/>
      <c r="Q160" s="234"/>
      <c r="R160" s="234"/>
    </row>
    <row r="161" spans="1:18" ht="12.75" hidden="1" customHeight="1" x14ac:dyDescent="0.2">
      <c r="A161" s="234"/>
      <c r="B161" s="234"/>
      <c r="C161" s="234"/>
      <c r="D161" s="234"/>
      <c r="E161" s="234"/>
      <c r="F161" s="234"/>
      <c r="G161" s="234"/>
      <c r="H161" s="234"/>
      <c r="I161" s="234"/>
      <c r="J161" s="234"/>
      <c r="K161" s="234"/>
      <c r="L161" s="234"/>
      <c r="M161" s="234"/>
      <c r="N161" s="234"/>
      <c r="O161" s="234"/>
      <c r="P161" s="234"/>
      <c r="Q161" s="234"/>
      <c r="R161" s="234"/>
    </row>
    <row r="162" spans="1:18" ht="12.75" hidden="1" customHeight="1" x14ac:dyDescent="0.2">
      <c r="A162" s="234"/>
      <c r="B162" s="234"/>
      <c r="C162" s="234"/>
      <c r="D162" s="234"/>
      <c r="E162" s="234"/>
      <c r="F162" s="234"/>
      <c r="G162" s="234"/>
      <c r="H162" s="234"/>
      <c r="I162" s="234"/>
      <c r="J162" s="234"/>
      <c r="K162" s="234"/>
      <c r="L162" s="234"/>
      <c r="M162" s="234"/>
      <c r="N162" s="234"/>
      <c r="O162" s="234"/>
      <c r="P162" s="234"/>
      <c r="Q162" s="234"/>
      <c r="R162" s="234"/>
    </row>
    <row r="163" spans="1:18" ht="12.75" hidden="1" customHeight="1" x14ac:dyDescent="0.2">
      <c r="A163" s="234"/>
      <c r="B163" s="234"/>
      <c r="C163" s="234"/>
      <c r="D163" s="234"/>
      <c r="E163" s="234"/>
      <c r="F163" s="234"/>
      <c r="G163" s="234"/>
      <c r="H163" s="234"/>
      <c r="I163" s="234"/>
      <c r="J163" s="234"/>
      <c r="K163" s="234"/>
      <c r="L163" s="234"/>
      <c r="M163" s="234"/>
      <c r="N163" s="234"/>
      <c r="O163" s="234"/>
      <c r="P163" s="234"/>
      <c r="Q163" s="234"/>
      <c r="R163" s="234"/>
    </row>
    <row r="164" spans="1:18" ht="12.75" hidden="1" customHeight="1" x14ac:dyDescent="0.2">
      <c r="A164" s="234"/>
      <c r="B164" s="234"/>
      <c r="C164" s="234"/>
      <c r="D164" s="234"/>
      <c r="E164" s="234"/>
      <c r="F164" s="234"/>
      <c r="G164" s="234"/>
      <c r="H164" s="234"/>
      <c r="I164" s="234"/>
      <c r="J164" s="234"/>
      <c r="K164" s="234"/>
      <c r="L164" s="234"/>
      <c r="M164" s="234"/>
      <c r="N164" s="234"/>
      <c r="O164" s="234"/>
      <c r="P164" s="234"/>
      <c r="Q164" s="234"/>
      <c r="R164" s="234"/>
    </row>
    <row r="165" spans="1:18" ht="12.75" hidden="1" customHeight="1" x14ac:dyDescent="0.2">
      <c r="A165" s="234"/>
      <c r="B165" s="234"/>
      <c r="C165" s="234"/>
      <c r="D165" s="234"/>
      <c r="E165" s="234"/>
      <c r="F165" s="234"/>
      <c r="G165" s="234"/>
      <c r="H165" s="234"/>
      <c r="I165" s="234"/>
      <c r="J165" s="234"/>
      <c r="K165" s="234"/>
      <c r="L165" s="234"/>
      <c r="M165" s="234"/>
      <c r="N165" s="234"/>
      <c r="O165" s="234"/>
      <c r="P165" s="234"/>
      <c r="Q165" s="234"/>
      <c r="R165" s="234"/>
    </row>
    <row r="166" spans="1:18" ht="12.75" hidden="1" customHeight="1" x14ac:dyDescent="0.2">
      <c r="A166" s="234"/>
      <c r="B166" s="234"/>
      <c r="C166" s="234"/>
      <c r="D166" s="234"/>
      <c r="E166" s="234"/>
      <c r="F166" s="234"/>
      <c r="G166" s="234"/>
      <c r="H166" s="234"/>
      <c r="I166" s="234"/>
      <c r="J166" s="234"/>
      <c r="K166" s="234"/>
      <c r="L166" s="234"/>
      <c r="M166" s="234"/>
      <c r="N166" s="234"/>
      <c r="O166" s="234"/>
      <c r="P166" s="234"/>
      <c r="Q166" s="234"/>
      <c r="R166" s="234"/>
    </row>
    <row r="167" spans="1:18" ht="12.75" hidden="1" customHeight="1" x14ac:dyDescent="0.2">
      <c r="A167" s="234"/>
      <c r="B167" s="234"/>
      <c r="C167" s="234"/>
      <c r="D167" s="234"/>
      <c r="E167" s="234"/>
      <c r="F167" s="234"/>
      <c r="G167" s="234"/>
      <c r="H167" s="234"/>
      <c r="I167" s="234"/>
      <c r="J167" s="234"/>
      <c r="K167" s="234"/>
      <c r="L167" s="234"/>
      <c r="M167" s="234"/>
      <c r="N167" s="234"/>
      <c r="O167" s="234"/>
      <c r="P167" s="234"/>
      <c r="Q167" s="234"/>
      <c r="R167" s="234"/>
    </row>
    <row r="168" spans="1:18" ht="12.75" hidden="1" customHeight="1" x14ac:dyDescent="0.2">
      <c r="A168" s="234"/>
      <c r="B168" s="234"/>
      <c r="C168" s="234"/>
      <c r="D168" s="234"/>
      <c r="E168" s="234"/>
      <c r="F168" s="234"/>
      <c r="G168" s="234"/>
      <c r="H168" s="234"/>
      <c r="I168" s="234"/>
      <c r="J168" s="234"/>
      <c r="K168" s="234"/>
      <c r="L168" s="234"/>
      <c r="M168" s="234"/>
      <c r="N168" s="234"/>
      <c r="O168" s="234"/>
      <c r="P168" s="234"/>
      <c r="Q168" s="234"/>
      <c r="R168" s="234"/>
    </row>
    <row r="169" spans="1:18" ht="12.75" hidden="1" customHeight="1" x14ac:dyDescent="0.2">
      <c r="A169" s="234"/>
      <c r="B169" s="234"/>
      <c r="C169" s="234"/>
      <c r="D169" s="234"/>
      <c r="E169" s="234"/>
      <c r="F169" s="234"/>
      <c r="G169" s="234"/>
      <c r="H169" s="234"/>
      <c r="I169" s="234"/>
      <c r="J169" s="234"/>
      <c r="K169" s="234"/>
      <c r="L169" s="234"/>
      <c r="M169" s="234"/>
      <c r="N169" s="234"/>
      <c r="O169" s="234"/>
      <c r="P169" s="234"/>
      <c r="Q169" s="234"/>
      <c r="R169" s="234"/>
    </row>
    <row r="170" spans="1:18" ht="12.75" hidden="1" customHeight="1" x14ac:dyDescent="0.2">
      <c r="A170" s="234"/>
      <c r="B170" s="234"/>
      <c r="C170" s="234"/>
      <c r="D170" s="234"/>
      <c r="E170" s="234"/>
      <c r="F170" s="234"/>
      <c r="G170" s="234"/>
      <c r="H170" s="234"/>
      <c r="I170" s="234"/>
      <c r="J170" s="234"/>
      <c r="K170" s="234"/>
      <c r="L170" s="234"/>
      <c r="M170" s="234"/>
      <c r="N170" s="234"/>
      <c r="O170" s="234"/>
      <c r="P170" s="234"/>
      <c r="Q170" s="234"/>
      <c r="R170" s="234"/>
    </row>
    <row r="171" spans="1:18" ht="12.75" hidden="1" customHeight="1" x14ac:dyDescent="0.2">
      <c r="A171" s="234"/>
      <c r="B171" s="234"/>
      <c r="C171" s="234"/>
      <c r="D171" s="234"/>
      <c r="E171" s="234"/>
      <c r="F171" s="234"/>
      <c r="G171" s="234"/>
      <c r="H171" s="234"/>
      <c r="I171" s="234"/>
      <c r="J171" s="234"/>
      <c r="K171" s="234"/>
      <c r="L171" s="234"/>
      <c r="M171" s="234"/>
      <c r="N171" s="234"/>
      <c r="O171" s="234"/>
      <c r="P171" s="234"/>
      <c r="Q171" s="234"/>
      <c r="R171" s="234"/>
    </row>
    <row r="172" spans="1:18" ht="12.75" hidden="1" customHeight="1" x14ac:dyDescent="0.2">
      <c r="A172" s="234"/>
      <c r="B172" s="234"/>
      <c r="C172" s="234"/>
      <c r="D172" s="234"/>
      <c r="E172" s="234"/>
      <c r="F172" s="234"/>
      <c r="G172" s="234"/>
      <c r="H172" s="234"/>
      <c r="I172" s="234"/>
      <c r="J172" s="234"/>
      <c r="K172" s="234"/>
      <c r="L172" s="234"/>
      <c r="M172" s="234"/>
      <c r="N172" s="234"/>
      <c r="O172" s="234"/>
      <c r="P172" s="234"/>
      <c r="Q172" s="234"/>
      <c r="R172" s="234"/>
    </row>
    <row r="173" spans="1:18" ht="12.75" hidden="1" customHeight="1" x14ac:dyDescent="0.2">
      <c r="A173" s="234"/>
      <c r="B173" s="234"/>
      <c r="C173" s="234"/>
      <c r="D173" s="234"/>
      <c r="E173" s="234"/>
      <c r="F173" s="234"/>
      <c r="G173" s="234"/>
      <c r="H173" s="234"/>
      <c r="I173" s="234"/>
      <c r="J173" s="234"/>
      <c r="K173" s="234"/>
      <c r="L173" s="234"/>
      <c r="M173" s="234"/>
      <c r="N173" s="234"/>
      <c r="O173" s="234"/>
      <c r="P173" s="234"/>
      <c r="Q173" s="234"/>
      <c r="R173" s="234"/>
    </row>
    <row r="174" spans="1:18" ht="12.75" hidden="1" customHeight="1" x14ac:dyDescent="0.2">
      <c r="A174" s="234"/>
      <c r="B174" s="234"/>
      <c r="C174" s="234"/>
      <c r="D174" s="234"/>
      <c r="E174" s="234"/>
      <c r="F174" s="234"/>
      <c r="G174" s="234"/>
      <c r="H174" s="234"/>
      <c r="I174" s="234"/>
      <c r="J174" s="234"/>
      <c r="K174" s="234"/>
      <c r="L174" s="234"/>
      <c r="M174" s="234"/>
      <c r="N174" s="234"/>
      <c r="O174" s="234"/>
      <c r="P174" s="234"/>
      <c r="Q174" s="234"/>
      <c r="R174" s="234"/>
    </row>
    <row r="175" spans="1:18" ht="12.75" hidden="1" customHeight="1" x14ac:dyDescent="0.2">
      <c r="A175" s="234"/>
      <c r="B175" s="234"/>
      <c r="C175" s="234"/>
      <c r="D175" s="234"/>
      <c r="E175" s="234"/>
      <c r="F175" s="234"/>
      <c r="G175" s="234"/>
      <c r="H175" s="234"/>
      <c r="I175" s="234"/>
      <c r="J175" s="234"/>
      <c r="K175" s="234"/>
      <c r="L175" s="234"/>
      <c r="M175" s="234"/>
      <c r="N175" s="234"/>
      <c r="O175" s="234"/>
      <c r="P175" s="234"/>
      <c r="Q175" s="234"/>
      <c r="R175" s="234"/>
    </row>
    <row r="176" spans="1:18" ht="12.75" hidden="1" customHeight="1" x14ac:dyDescent="0.2">
      <c r="A176" s="234"/>
      <c r="B176" s="234"/>
      <c r="C176" s="234"/>
      <c r="D176" s="234"/>
      <c r="E176" s="234"/>
      <c r="F176" s="234"/>
      <c r="G176" s="234"/>
      <c r="H176" s="234"/>
      <c r="I176" s="234"/>
      <c r="J176" s="234"/>
      <c r="K176" s="234"/>
      <c r="L176" s="234"/>
      <c r="M176" s="234"/>
      <c r="N176" s="234"/>
      <c r="O176" s="234"/>
      <c r="P176" s="234"/>
      <c r="Q176" s="234"/>
      <c r="R176" s="234"/>
    </row>
    <row r="177" spans="1:18" ht="12.75" hidden="1" customHeight="1" x14ac:dyDescent="0.2">
      <c r="A177" s="234"/>
      <c r="B177" s="234"/>
      <c r="C177" s="234"/>
      <c r="D177" s="234"/>
      <c r="E177" s="234"/>
      <c r="F177" s="234"/>
      <c r="G177" s="234"/>
      <c r="H177" s="234"/>
      <c r="I177" s="234"/>
      <c r="J177" s="234"/>
      <c r="K177" s="234"/>
      <c r="L177" s="234"/>
      <c r="M177" s="234"/>
      <c r="N177" s="234"/>
      <c r="O177" s="234"/>
      <c r="P177" s="234"/>
      <c r="Q177" s="234"/>
      <c r="R177" s="234"/>
    </row>
    <row r="178" spans="1:18" ht="12.75" hidden="1" customHeight="1" x14ac:dyDescent="0.2">
      <c r="A178" s="234"/>
      <c r="B178" s="234"/>
      <c r="C178" s="234"/>
      <c r="D178" s="234"/>
      <c r="E178" s="234"/>
      <c r="F178" s="234"/>
      <c r="G178" s="234"/>
      <c r="H178" s="234"/>
      <c r="I178" s="234"/>
      <c r="J178" s="234"/>
      <c r="K178" s="234"/>
      <c r="L178" s="234"/>
      <c r="M178" s="234"/>
      <c r="N178" s="234"/>
      <c r="O178" s="234"/>
      <c r="P178" s="234"/>
      <c r="Q178" s="234"/>
      <c r="R178" s="234"/>
    </row>
    <row r="179" spans="1:18" ht="12.75" hidden="1" customHeight="1" x14ac:dyDescent="0.2">
      <c r="A179" s="234"/>
      <c r="B179" s="234"/>
      <c r="C179" s="234"/>
      <c r="D179" s="234"/>
      <c r="E179" s="234"/>
      <c r="F179" s="234"/>
      <c r="G179" s="234"/>
      <c r="H179" s="234"/>
      <c r="I179" s="234"/>
      <c r="J179" s="234"/>
      <c r="K179" s="234"/>
      <c r="L179" s="234"/>
      <c r="M179" s="234"/>
      <c r="N179" s="234"/>
      <c r="O179" s="234"/>
      <c r="P179" s="234"/>
      <c r="Q179" s="234"/>
      <c r="R179" s="234"/>
    </row>
    <row r="180" spans="1:18" ht="12.75" hidden="1" customHeight="1" x14ac:dyDescent="0.2">
      <c r="A180" s="234"/>
      <c r="B180" s="234"/>
      <c r="C180" s="234"/>
      <c r="D180" s="234"/>
      <c r="E180" s="234"/>
      <c r="F180" s="234"/>
      <c r="G180" s="234"/>
      <c r="H180" s="234"/>
      <c r="I180" s="234"/>
      <c r="J180" s="234"/>
      <c r="K180" s="234"/>
      <c r="L180" s="234"/>
      <c r="M180" s="234"/>
      <c r="N180" s="234"/>
      <c r="O180" s="234"/>
      <c r="P180" s="234"/>
      <c r="Q180" s="234"/>
      <c r="R180" s="234"/>
    </row>
    <row r="181" spans="1:18" ht="12.75" hidden="1" customHeight="1" x14ac:dyDescent="0.2">
      <c r="A181" s="234"/>
      <c r="B181" s="234"/>
      <c r="C181" s="234"/>
      <c r="D181" s="234"/>
      <c r="E181" s="234"/>
      <c r="F181" s="234"/>
      <c r="G181" s="234"/>
      <c r="H181" s="234"/>
      <c r="I181" s="234"/>
      <c r="J181" s="234"/>
      <c r="K181" s="234"/>
      <c r="L181" s="234"/>
      <c r="M181" s="234"/>
      <c r="N181" s="234"/>
      <c r="O181" s="234"/>
      <c r="P181" s="234"/>
      <c r="Q181" s="234"/>
      <c r="R181" s="234"/>
    </row>
    <row r="182" spans="1:18" ht="12.75" hidden="1" customHeight="1" x14ac:dyDescent="0.2">
      <c r="A182" s="234"/>
      <c r="B182" s="234"/>
      <c r="C182" s="234"/>
      <c r="D182" s="234"/>
      <c r="E182" s="234"/>
      <c r="F182" s="234"/>
      <c r="G182" s="234"/>
      <c r="H182" s="234"/>
      <c r="I182" s="234"/>
      <c r="J182" s="234"/>
      <c r="K182" s="234"/>
      <c r="L182" s="234"/>
      <c r="M182" s="234"/>
      <c r="N182" s="234"/>
      <c r="O182" s="234"/>
      <c r="P182" s="234"/>
      <c r="Q182" s="234"/>
      <c r="R182" s="234"/>
    </row>
    <row r="183" spans="1:18" ht="12.75" hidden="1" customHeight="1" x14ac:dyDescent="0.2">
      <c r="A183" s="234"/>
      <c r="B183" s="234"/>
      <c r="C183" s="234"/>
      <c r="D183" s="234"/>
      <c r="E183" s="234"/>
      <c r="F183" s="234"/>
      <c r="G183" s="234"/>
      <c r="H183" s="234"/>
      <c r="I183" s="234"/>
      <c r="J183" s="234"/>
      <c r="K183" s="234"/>
      <c r="L183" s="234"/>
      <c r="M183" s="234"/>
      <c r="N183" s="234"/>
      <c r="O183" s="234"/>
      <c r="P183" s="234"/>
      <c r="Q183" s="234"/>
      <c r="R183" s="234"/>
    </row>
    <row r="184" spans="1:18" ht="12.75" hidden="1" customHeight="1" x14ac:dyDescent="0.2">
      <c r="A184" s="234"/>
      <c r="B184" s="234"/>
      <c r="C184" s="234"/>
      <c r="D184" s="234"/>
      <c r="E184" s="234"/>
      <c r="F184" s="234"/>
      <c r="G184" s="234"/>
      <c r="H184" s="234"/>
      <c r="I184" s="234"/>
      <c r="J184" s="234"/>
      <c r="K184" s="234"/>
      <c r="L184" s="234"/>
      <c r="M184" s="234"/>
      <c r="N184" s="234"/>
      <c r="O184" s="234"/>
      <c r="P184" s="234"/>
      <c r="Q184" s="234"/>
      <c r="R184" s="234"/>
    </row>
    <row r="185" spans="1:18" ht="12.75" hidden="1" customHeight="1" x14ac:dyDescent="0.2">
      <c r="A185" s="234"/>
      <c r="B185" s="234"/>
      <c r="C185" s="234"/>
      <c r="D185" s="234"/>
      <c r="E185" s="234"/>
      <c r="F185" s="234"/>
      <c r="G185" s="234"/>
      <c r="H185" s="234"/>
      <c r="I185" s="234"/>
      <c r="J185" s="234"/>
      <c r="K185" s="234"/>
      <c r="L185" s="234"/>
      <c r="M185" s="234"/>
      <c r="N185" s="234"/>
      <c r="O185" s="234"/>
      <c r="P185" s="234"/>
      <c r="Q185" s="234"/>
      <c r="R185" s="234"/>
    </row>
    <row r="186" spans="1:18" ht="12.75" hidden="1" customHeight="1" x14ac:dyDescent="0.2">
      <c r="A186" s="234"/>
      <c r="B186" s="234"/>
      <c r="C186" s="234"/>
      <c r="D186" s="234"/>
      <c r="E186" s="234"/>
      <c r="F186" s="234"/>
      <c r="G186" s="234"/>
      <c r="H186" s="234"/>
      <c r="I186" s="234"/>
      <c r="J186" s="234"/>
      <c r="K186" s="234"/>
      <c r="L186" s="234"/>
      <c r="M186" s="234"/>
      <c r="N186" s="234"/>
      <c r="O186" s="234"/>
      <c r="P186" s="234"/>
      <c r="Q186" s="234"/>
      <c r="R186" s="234"/>
    </row>
    <row r="187" spans="1:18" ht="12.75" hidden="1" customHeight="1" x14ac:dyDescent="0.2">
      <c r="A187" s="234"/>
      <c r="B187" s="234"/>
      <c r="C187" s="234"/>
      <c r="D187" s="234"/>
      <c r="E187" s="234"/>
      <c r="F187" s="234"/>
      <c r="G187" s="234"/>
      <c r="H187" s="234"/>
      <c r="I187" s="234"/>
      <c r="J187" s="234"/>
      <c r="K187" s="234"/>
      <c r="L187" s="234"/>
      <c r="M187" s="234"/>
      <c r="N187" s="234"/>
      <c r="O187" s="234"/>
      <c r="P187" s="234"/>
      <c r="Q187" s="234"/>
      <c r="R187" s="234"/>
    </row>
    <row r="188" spans="1:18" ht="12.75" hidden="1" customHeight="1" x14ac:dyDescent="0.2">
      <c r="A188" s="234"/>
      <c r="B188" s="234"/>
      <c r="C188" s="234"/>
      <c r="D188" s="234"/>
      <c r="E188" s="234"/>
      <c r="F188" s="234"/>
      <c r="G188" s="234"/>
      <c r="H188" s="234"/>
      <c r="I188" s="234"/>
      <c r="J188" s="234"/>
      <c r="K188" s="234"/>
      <c r="L188" s="234"/>
      <c r="M188" s="234"/>
      <c r="N188" s="234"/>
      <c r="O188" s="234"/>
      <c r="P188" s="234"/>
      <c r="Q188" s="234"/>
      <c r="R188" s="234"/>
    </row>
    <row r="189" spans="1:18" ht="12.75" hidden="1" customHeight="1" x14ac:dyDescent="0.2">
      <c r="A189" s="234"/>
      <c r="B189" s="234"/>
      <c r="C189" s="234"/>
      <c r="D189" s="234"/>
      <c r="E189" s="234"/>
      <c r="F189" s="234"/>
      <c r="G189" s="234"/>
      <c r="H189" s="234"/>
      <c r="I189" s="234"/>
      <c r="J189" s="234"/>
      <c r="K189" s="234"/>
      <c r="L189" s="234"/>
      <c r="M189" s="234"/>
      <c r="N189" s="234"/>
      <c r="O189" s="234"/>
      <c r="P189" s="234"/>
      <c r="Q189" s="234"/>
      <c r="R189" s="234"/>
    </row>
    <row r="190" spans="1:18" ht="12.75" hidden="1" customHeight="1" x14ac:dyDescent="0.2">
      <c r="A190" s="234"/>
      <c r="B190" s="234"/>
      <c r="C190" s="234"/>
      <c r="D190" s="234"/>
      <c r="E190" s="234"/>
      <c r="F190" s="234"/>
      <c r="G190" s="234"/>
      <c r="H190" s="234"/>
      <c r="I190" s="234"/>
      <c r="J190" s="234"/>
      <c r="K190" s="234"/>
      <c r="L190" s="234"/>
      <c r="M190" s="234"/>
      <c r="N190" s="234"/>
      <c r="O190" s="234"/>
      <c r="P190" s="234"/>
      <c r="Q190" s="234"/>
      <c r="R190" s="234"/>
    </row>
    <row r="191" spans="1:18" ht="12.75" hidden="1" customHeight="1" x14ac:dyDescent="0.2">
      <c r="A191" s="234"/>
      <c r="B191" s="234"/>
      <c r="C191" s="234"/>
      <c r="D191" s="234"/>
      <c r="E191" s="234"/>
      <c r="F191" s="234"/>
      <c r="G191" s="234"/>
      <c r="H191" s="234"/>
      <c r="I191" s="234"/>
      <c r="J191" s="234"/>
      <c r="K191" s="234"/>
      <c r="L191" s="234"/>
      <c r="M191" s="234"/>
      <c r="N191" s="234"/>
      <c r="O191" s="234"/>
      <c r="P191" s="234"/>
      <c r="Q191" s="234"/>
      <c r="R191" s="234"/>
    </row>
    <row r="192" spans="1:18" ht="12.75" hidden="1" customHeight="1" x14ac:dyDescent="0.2">
      <c r="A192" s="234"/>
      <c r="B192" s="234"/>
      <c r="C192" s="234"/>
      <c r="D192" s="234"/>
      <c r="E192" s="234"/>
      <c r="F192" s="234"/>
      <c r="G192" s="234"/>
      <c r="H192" s="234"/>
      <c r="I192" s="234"/>
      <c r="J192" s="234"/>
      <c r="K192" s="234"/>
      <c r="L192" s="234"/>
      <c r="M192" s="234"/>
      <c r="N192" s="234"/>
      <c r="O192" s="234"/>
      <c r="P192" s="234"/>
      <c r="Q192" s="234"/>
      <c r="R192" s="234"/>
    </row>
    <row r="193" spans="1:18" ht="12.75" hidden="1" customHeight="1" x14ac:dyDescent="0.2">
      <c r="A193" s="234"/>
      <c r="B193" s="234"/>
      <c r="C193" s="234"/>
      <c r="D193" s="234"/>
      <c r="E193" s="234"/>
      <c r="F193" s="234"/>
      <c r="G193" s="234"/>
      <c r="H193" s="234"/>
      <c r="I193" s="234"/>
      <c r="J193" s="234"/>
      <c r="K193" s="234"/>
      <c r="L193" s="234"/>
      <c r="M193" s="234"/>
      <c r="N193" s="234"/>
      <c r="O193" s="234"/>
      <c r="P193" s="234"/>
      <c r="Q193" s="234"/>
      <c r="R193" s="234"/>
    </row>
    <row r="194" spans="1:18" ht="12.75" hidden="1" customHeight="1" x14ac:dyDescent="0.2">
      <c r="A194" s="234"/>
      <c r="B194" s="234"/>
      <c r="C194" s="234"/>
      <c r="D194" s="234"/>
      <c r="E194" s="234"/>
      <c r="F194" s="234"/>
      <c r="G194" s="234"/>
      <c r="H194" s="234"/>
      <c r="I194" s="234"/>
      <c r="J194" s="234"/>
      <c r="K194" s="234"/>
      <c r="L194" s="234"/>
      <c r="M194" s="234"/>
      <c r="N194" s="234"/>
      <c r="O194" s="234"/>
      <c r="P194" s="234"/>
      <c r="Q194" s="234"/>
      <c r="R194" s="234"/>
    </row>
    <row r="195" spans="1:18" ht="12.75" hidden="1" customHeight="1" x14ac:dyDescent="0.2">
      <c r="A195" s="234"/>
      <c r="B195" s="234"/>
      <c r="C195" s="234"/>
      <c r="D195" s="234"/>
      <c r="E195" s="234"/>
      <c r="F195" s="234"/>
      <c r="G195" s="234"/>
      <c r="H195" s="234"/>
      <c r="I195" s="234"/>
      <c r="J195" s="234"/>
      <c r="K195" s="234"/>
      <c r="L195" s="234"/>
      <c r="M195" s="234"/>
      <c r="N195" s="234"/>
      <c r="O195" s="234"/>
      <c r="P195" s="234"/>
      <c r="Q195" s="234"/>
      <c r="R195" s="234"/>
    </row>
    <row r="196" spans="1:18" ht="12.75" hidden="1" customHeight="1" x14ac:dyDescent="0.2">
      <c r="A196" s="234"/>
      <c r="B196" s="234"/>
      <c r="C196" s="234"/>
      <c r="D196" s="234"/>
      <c r="E196" s="234"/>
      <c r="F196" s="234"/>
      <c r="G196" s="234"/>
      <c r="H196" s="234"/>
      <c r="I196" s="234"/>
      <c r="J196" s="234"/>
      <c r="K196" s="234"/>
      <c r="L196" s="234"/>
      <c r="M196" s="234"/>
      <c r="N196" s="234"/>
      <c r="O196" s="234"/>
      <c r="P196" s="234"/>
      <c r="Q196" s="234"/>
      <c r="R196" s="234"/>
    </row>
    <row r="197" spans="1:18" ht="12.75" hidden="1" customHeight="1" x14ac:dyDescent="0.2">
      <c r="A197" s="234"/>
      <c r="B197" s="234"/>
      <c r="C197" s="234"/>
      <c r="D197" s="234"/>
      <c r="E197" s="234"/>
      <c r="F197" s="234"/>
      <c r="G197" s="234"/>
      <c r="H197" s="234"/>
      <c r="I197" s="234"/>
      <c r="J197" s="234"/>
      <c r="K197" s="234"/>
      <c r="L197" s="234"/>
      <c r="M197" s="234"/>
      <c r="N197" s="234"/>
      <c r="O197" s="234"/>
      <c r="P197" s="234"/>
      <c r="Q197" s="234"/>
      <c r="R197" s="234"/>
    </row>
    <row r="198" spans="1:18" ht="12.75" hidden="1" customHeight="1" x14ac:dyDescent="0.2">
      <c r="A198" s="234"/>
      <c r="B198" s="234"/>
      <c r="C198" s="234"/>
      <c r="D198" s="234"/>
      <c r="E198" s="234"/>
      <c r="F198" s="234"/>
      <c r="G198" s="234"/>
      <c r="H198" s="234"/>
      <c r="I198" s="234"/>
      <c r="J198" s="234"/>
      <c r="K198" s="234"/>
      <c r="L198" s="234"/>
      <c r="M198" s="234"/>
      <c r="N198" s="234"/>
      <c r="O198" s="234"/>
      <c r="P198" s="234"/>
      <c r="Q198" s="234"/>
      <c r="R198" s="234"/>
    </row>
    <row r="199" spans="1:18" ht="12.75" hidden="1" customHeight="1" x14ac:dyDescent="0.2">
      <c r="A199" s="234"/>
      <c r="B199" s="234"/>
      <c r="C199" s="234"/>
      <c r="D199" s="234"/>
      <c r="E199" s="234"/>
      <c r="F199" s="234"/>
      <c r="G199" s="234"/>
      <c r="H199" s="234"/>
      <c r="I199" s="234"/>
      <c r="J199" s="234"/>
      <c r="K199" s="234"/>
      <c r="L199" s="234"/>
      <c r="M199" s="234"/>
      <c r="N199" s="234"/>
      <c r="O199" s="234"/>
      <c r="P199" s="234"/>
      <c r="Q199" s="234"/>
      <c r="R199" s="234"/>
    </row>
    <row r="200" spans="1:18" ht="12.75" hidden="1" customHeight="1" x14ac:dyDescent="0.2">
      <c r="A200" s="234"/>
      <c r="B200" s="234"/>
      <c r="C200" s="234"/>
      <c r="D200" s="234"/>
      <c r="E200" s="234"/>
      <c r="F200" s="234"/>
      <c r="G200" s="234"/>
      <c r="H200" s="234"/>
      <c r="I200" s="234"/>
      <c r="J200" s="234"/>
      <c r="K200" s="234"/>
      <c r="L200" s="234"/>
      <c r="M200" s="234"/>
      <c r="N200" s="234"/>
      <c r="O200" s="234"/>
      <c r="P200" s="234"/>
      <c r="Q200" s="234"/>
      <c r="R200" s="234"/>
    </row>
    <row r="201" spans="1:18" ht="12.75" hidden="1" customHeight="1" x14ac:dyDescent="0.2">
      <c r="A201" s="234"/>
      <c r="B201" s="234"/>
      <c r="C201" s="234"/>
      <c r="D201" s="234"/>
      <c r="E201" s="234"/>
      <c r="F201" s="234"/>
      <c r="G201" s="234"/>
      <c r="H201" s="234"/>
      <c r="I201" s="234"/>
      <c r="J201" s="234"/>
      <c r="K201" s="234"/>
      <c r="L201" s="234"/>
      <c r="M201" s="234"/>
      <c r="N201" s="234"/>
      <c r="O201" s="234"/>
      <c r="P201" s="234"/>
      <c r="Q201" s="234"/>
      <c r="R201" s="234"/>
    </row>
    <row r="202" spans="1:18" ht="12.75" hidden="1" customHeight="1" x14ac:dyDescent="0.2">
      <c r="A202" s="234"/>
      <c r="B202" s="234"/>
      <c r="C202" s="234"/>
      <c r="D202" s="234"/>
      <c r="E202" s="234"/>
      <c r="F202" s="234"/>
      <c r="G202" s="234"/>
      <c r="H202" s="234"/>
      <c r="I202" s="234"/>
      <c r="J202" s="234"/>
      <c r="K202" s="234"/>
      <c r="L202" s="234"/>
      <c r="M202" s="234"/>
      <c r="N202" s="234"/>
      <c r="O202" s="234"/>
      <c r="P202" s="234"/>
      <c r="Q202" s="234"/>
      <c r="R202" s="234"/>
    </row>
    <row r="203" spans="1:18" ht="12.75" hidden="1" customHeight="1" x14ac:dyDescent="0.2">
      <c r="A203" s="234"/>
      <c r="B203" s="234"/>
      <c r="C203" s="234"/>
      <c r="D203" s="234"/>
      <c r="E203" s="234"/>
      <c r="F203" s="234"/>
      <c r="G203" s="234"/>
      <c r="H203" s="234"/>
      <c r="I203" s="234"/>
      <c r="J203" s="234"/>
      <c r="K203" s="234"/>
      <c r="L203" s="234"/>
      <c r="M203" s="234"/>
      <c r="N203" s="234"/>
      <c r="O203" s="234"/>
      <c r="P203" s="234"/>
      <c r="Q203" s="234"/>
      <c r="R203" s="234"/>
    </row>
    <row r="204" spans="1:18" ht="12.75" hidden="1" customHeight="1" x14ac:dyDescent="0.2">
      <c r="A204" s="234"/>
      <c r="B204" s="234"/>
      <c r="C204" s="234"/>
      <c r="D204" s="234"/>
      <c r="E204" s="234"/>
      <c r="F204" s="234"/>
      <c r="G204" s="234"/>
      <c r="H204" s="234"/>
      <c r="I204" s="234"/>
      <c r="J204" s="234"/>
      <c r="K204" s="234"/>
      <c r="L204" s="234"/>
      <c r="M204" s="234"/>
      <c r="N204" s="234"/>
      <c r="O204" s="234"/>
      <c r="P204" s="234"/>
      <c r="Q204" s="234"/>
      <c r="R204" s="234"/>
    </row>
    <row r="205" spans="1:18" ht="12.75" hidden="1" customHeight="1" x14ac:dyDescent="0.2">
      <c r="A205" s="234"/>
      <c r="B205" s="234"/>
      <c r="C205" s="234"/>
      <c r="D205" s="234"/>
      <c r="E205" s="234"/>
      <c r="F205" s="234"/>
      <c r="G205" s="234"/>
      <c r="H205" s="234"/>
      <c r="I205" s="234"/>
      <c r="J205" s="234"/>
      <c r="K205" s="234"/>
      <c r="L205" s="234"/>
      <c r="M205" s="234"/>
      <c r="N205" s="234"/>
      <c r="O205" s="234"/>
      <c r="P205" s="234"/>
      <c r="Q205" s="234"/>
      <c r="R205" s="234"/>
    </row>
    <row r="206" spans="1:18" ht="12.75" hidden="1" customHeight="1" x14ac:dyDescent="0.2">
      <c r="A206" s="234"/>
      <c r="B206" s="234"/>
      <c r="C206" s="234"/>
      <c r="D206" s="234"/>
      <c r="E206" s="234"/>
      <c r="F206" s="234"/>
      <c r="G206" s="234"/>
      <c r="H206" s="234"/>
      <c r="I206" s="234"/>
      <c r="J206" s="234"/>
      <c r="K206" s="234"/>
      <c r="L206" s="234"/>
      <c r="M206" s="234"/>
      <c r="N206" s="234"/>
      <c r="O206" s="234"/>
      <c r="P206" s="234"/>
      <c r="Q206" s="234"/>
      <c r="R206" s="234"/>
    </row>
    <row r="207" spans="1:18" ht="12.75" hidden="1" customHeight="1" x14ac:dyDescent="0.2">
      <c r="A207" s="234"/>
      <c r="B207" s="234"/>
      <c r="C207" s="234"/>
      <c r="D207" s="234"/>
      <c r="E207" s="234"/>
      <c r="F207" s="234"/>
      <c r="G207" s="234"/>
      <c r="H207" s="234"/>
      <c r="I207" s="234"/>
      <c r="J207" s="234"/>
      <c r="K207" s="234"/>
      <c r="L207" s="234"/>
      <c r="M207" s="234"/>
      <c r="N207" s="234"/>
      <c r="O207" s="234"/>
      <c r="P207" s="234"/>
      <c r="Q207" s="234"/>
      <c r="R207" s="234"/>
    </row>
    <row r="208" spans="1:18" ht="12.75" hidden="1" customHeight="1" x14ac:dyDescent="0.2">
      <c r="A208" s="234"/>
      <c r="B208" s="234"/>
      <c r="C208" s="234"/>
      <c r="D208" s="234"/>
      <c r="E208" s="234"/>
      <c r="F208" s="234"/>
      <c r="G208" s="234"/>
      <c r="H208" s="234"/>
      <c r="I208" s="234"/>
      <c r="J208" s="234"/>
      <c r="K208" s="234"/>
      <c r="L208" s="234"/>
      <c r="M208" s="234"/>
      <c r="N208" s="234"/>
      <c r="O208" s="234"/>
      <c r="P208" s="234"/>
      <c r="Q208" s="234"/>
      <c r="R208" s="234"/>
    </row>
    <row r="209" spans="1:18" ht="12.75" hidden="1" customHeight="1" x14ac:dyDescent="0.2">
      <c r="A209" s="234"/>
      <c r="B209" s="234"/>
      <c r="C209" s="234"/>
      <c r="D209" s="234"/>
      <c r="E209" s="234"/>
      <c r="F209" s="234"/>
      <c r="G209" s="234"/>
      <c r="H209" s="234"/>
      <c r="I209" s="234"/>
      <c r="J209" s="234"/>
      <c r="K209" s="234"/>
      <c r="L209" s="234"/>
      <c r="M209" s="234"/>
      <c r="N209" s="234"/>
      <c r="O209" s="234"/>
      <c r="P209" s="234"/>
      <c r="Q209" s="234"/>
      <c r="R209" s="234"/>
    </row>
    <row r="210" spans="1:18" ht="12.75" hidden="1" customHeight="1" x14ac:dyDescent="0.2">
      <c r="A210" s="234"/>
      <c r="B210" s="234"/>
      <c r="C210" s="234"/>
      <c r="D210" s="234"/>
      <c r="E210" s="234"/>
      <c r="F210" s="234"/>
      <c r="G210" s="234"/>
      <c r="H210" s="234"/>
      <c r="I210" s="234"/>
      <c r="J210" s="234"/>
      <c r="K210" s="234"/>
      <c r="L210" s="234"/>
      <c r="M210" s="234"/>
      <c r="N210" s="234"/>
      <c r="O210" s="234"/>
      <c r="P210" s="234"/>
      <c r="Q210" s="234"/>
      <c r="R210" s="234"/>
    </row>
    <row r="211" spans="1:18" ht="12.75" hidden="1" customHeight="1" x14ac:dyDescent="0.2">
      <c r="A211" s="234"/>
      <c r="B211" s="234"/>
      <c r="C211" s="234"/>
      <c r="D211" s="234"/>
      <c r="E211" s="234"/>
      <c r="F211" s="234"/>
      <c r="G211" s="234"/>
      <c r="H211" s="234"/>
      <c r="I211" s="234"/>
      <c r="J211" s="234"/>
      <c r="K211" s="234"/>
      <c r="L211" s="234"/>
      <c r="M211" s="234"/>
      <c r="N211" s="234"/>
      <c r="O211" s="234"/>
      <c r="P211" s="234"/>
      <c r="Q211" s="234"/>
      <c r="R211" s="234"/>
    </row>
    <row r="212" spans="1:18" ht="12.75" hidden="1" customHeight="1" x14ac:dyDescent="0.2">
      <c r="A212" s="234"/>
      <c r="B212" s="234"/>
      <c r="C212" s="234"/>
      <c r="D212" s="234"/>
      <c r="E212" s="234"/>
      <c r="F212" s="234"/>
      <c r="G212" s="234"/>
      <c r="H212" s="234"/>
      <c r="I212" s="234"/>
      <c r="J212" s="234"/>
      <c r="K212" s="234"/>
      <c r="L212" s="234"/>
      <c r="M212" s="234"/>
      <c r="N212" s="234"/>
      <c r="O212" s="234"/>
      <c r="P212" s="234"/>
      <c r="Q212" s="234"/>
      <c r="R212" s="234"/>
    </row>
    <row r="213" spans="1:18" ht="12.75" hidden="1" customHeight="1" x14ac:dyDescent="0.2">
      <c r="A213" s="234"/>
      <c r="B213" s="234"/>
      <c r="C213" s="234"/>
      <c r="D213" s="234"/>
      <c r="E213" s="234"/>
      <c r="F213" s="234"/>
      <c r="G213" s="234"/>
      <c r="H213" s="234"/>
      <c r="I213" s="234"/>
      <c r="J213" s="234"/>
      <c r="K213" s="234"/>
      <c r="L213" s="234"/>
      <c r="M213" s="234"/>
      <c r="N213" s="234"/>
      <c r="O213" s="234"/>
      <c r="P213" s="234"/>
      <c r="Q213" s="234"/>
      <c r="R213" s="234"/>
    </row>
    <row r="214" spans="1:18" ht="12.75" hidden="1" customHeight="1" x14ac:dyDescent="0.2">
      <c r="A214" s="234"/>
      <c r="B214" s="234"/>
      <c r="C214" s="234"/>
      <c r="D214" s="234"/>
      <c r="E214" s="234"/>
      <c r="F214" s="234"/>
      <c r="G214" s="234"/>
      <c r="H214" s="234"/>
      <c r="I214" s="234"/>
      <c r="J214" s="234"/>
      <c r="K214" s="234"/>
      <c r="L214" s="234"/>
      <c r="M214" s="234"/>
      <c r="N214" s="234"/>
      <c r="O214" s="234"/>
      <c r="P214" s="234"/>
      <c r="Q214" s="234"/>
      <c r="R214" s="234"/>
    </row>
    <row r="215" spans="1:18" ht="12.75" hidden="1" customHeight="1" x14ac:dyDescent="0.2">
      <c r="A215" s="234"/>
      <c r="B215" s="234"/>
      <c r="C215" s="234"/>
      <c r="D215" s="234"/>
      <c r="E215" s="234"/>
      <c r="F215" s="234"/>
      <c r="G215" s="234"/>
      <c r="H215" s="234"/>
      <c r="I215" s="234"/>
      <c r="J215" s="234"/>
      <c r="K215" s="234"/>
      <c r="L215" s="234"/>
      <c r="M215" s="234"/>
      <c r="N215" s="234"/>
      <c r="O215" s="234"/>
      <c r="P215" s="234"/>
      <c r="Q215" s="234"/>
      <c r="R215" s="234"/>
    </row>
    <row r="216" spans="1:18" ht="12.75" hidden="1" customHeight="1" x14ac:dyDescent="0.2">
      <c r="A216" s="234"/>
      <c r="B216" s="234"/>
      <c r="C216" s="234"/>
      <c r="D216" s="234"/>
      <c r="E216" s="234"/>
      <c r="F216" s="234"/>
      <c r="G216" s="234"/>
      <c r="H216" s="234"/>
      <c r="I216" s="234"/>
      <c r="J216" s="234"/>
      <c r="K216" s="234"/>
      <c r="L216" s="234"/>
      <c r="M216" s="234"/>
      <c r="N216" s="234"/>
      <c r="O216" s="234"/>
      <c r="P216" s="234"/>
      <c r="Q216" s="234"/>
      <c r="R216" s="234"/>
    </row>
    <row r="217" spans="1:18" ht="12.75" hidden="1" customHeight="1" x14ac:dyDescent="0.2">
      <c r="A217" s="234"/>
      <c r="B217" s="234"/>
      <c r="C217" s="234"/>
      <c r="D217" s="234"/>
      <c r="E217" s="234"/>
      <c r="F217" s="234"/>
      <c r="G217" s="234"/>
      <c r="H217" s="234"/>
      <c r="I217" s="234"/>
      <c r="J217" s="234"/>
      <c r="K217" s="234"/>
      <c r="L217" s="234"/>
      <c r="M217" s="234"/>
      <c r="N217" s="234"/>
      <c r="O217" s="234"/>
      <c r="P217" s="234"/>
      <c r="Q217" s="234"/>
      <c r="R217" s="234"/>
    </row>
    <row r="218" spans="1:18" ht="12.75" hidden="1" customHeight="1" x14ac:dyDescent="0.2">
      <c r="A218" s="234"/>
      <c r="B218" s="234"/>
      <c r="C218" s="234"/>
      <c r="D218" s="234"/>
      <c r="E218" s="234"/>
      <c r="F218" s="234"/>
      <c r="G218" s="234"/>
      <c r="H218" s="234"/>
      <c r="I218" s="234"/>
      <c r="J218" s="234"/>
      <c r="K218" s="234"/>
      <c r="L218" s="234"/>
      <c r="M218" s="234"/>
      <c r="N218" s="234"/>
      <c r="O218" s="234"/>
      <c r="P218" s="234"/>
      <c r="Q218" s="234"/>
      <c r="R218" s="234"/>
    </row>
    <row r="219" spans="1:18" ht="12.75" hidden="1" customHeight="1" x14ac:dyDescent="0.2">
      <c r="A219" s="234"/>
      <c r="B219" s="234"/>
      <c r="C219" s="234"/>
      <c r="D219" s="234"/>
      <c r="E219" s="234"/>
      <c r="F219" s="234"/>
      <c r="G219" s="234"/>
      <c r="H219" s="234"/>
      <c r="I219" s="234"/>
      <c r="J219" s="234"/>
      <c r="K219" s="234"/>
      <c r="L219" s="234"/>
      <c r="M219" s="234"/>
      <c r="N219" s="234"/>
      <c r="O219" s="234"/>
      <c r="P219" s="234"/>
      <c r="Q219" s="234"/>
      <c r="R219" s="234"/>
    </row>
    <row r="220" spans="1:18" ht="12.75" hidden="1" customHeight="1" x14ac:dyDescent="0.2">
      <c r="A220" s="234"/>
      <c r="B220" s="234"/>
      <c r="C220" s="234"/>
      <c r="D220" s="234"/>
      <c r="E220" s="234"/>
      <c r="F220" s="234"/>
      <c r="G220" s="234"/>
      <c r="H220" s="234"/>
      <c r="I220" s="234"/>
      <c r="J220" s="234"/>
      <c r="K220" s="234"/>
      <c r="L220" s="234"/>
      <c r="M220" s="234"/>
      <c r="N220" s="234"/>
      <c r="O220" s="234"/>
      <c r="P220" s="234"/>
      <c r="Q220" s="234"/>
      <c r="R220" s="234"/>
    </row>
    <row r="221" spans="1:18" ht="12.75" hidden="1" customHeight="1" x14ac:dyDescent="0.2">
      <c r="A221" s="234"/>
      <c r="B221" s="234"/>
      <c r="C221" s="234"/>
      <c r="D221" s="234"/>
      <c r="E221" s="234"/>
      <c r="F221" s="234"/>
      <c r="G221" s="234"/>
      <c r="H221" s="234"/>
      <c r="I221" s="234"/>
      <c r="J221" s="234"/>
      <c r="K221" s="234"/>
      <c r="L221" s="234"/>
      <c r="M221" s="234"/>
      <c r="N221" s="234"/>
      <c r="O221" s="234"/>
      <c r="P221" s="234"/>
      <c r="Q221" s="234"/>
      <c r="R221" s="234"/>
    </row>
    <row r="222" spans="1:18" ht="12.75" hidden="1" customHeight="1" x14ac:dyDescent="0.2">
      <c r="A222" s="234"/>
      <c r="B222" s="234"/>
      <c r="C222" s="234"/>
      <c r="D222" s="234"/>
      <c r="E222" s="234"/>
      <c r="F222" s="234"/>
      <c r="G222" s="234"/>
      <c r="H222" s="234"/>
      <c r="I222" s="234"/>
      <c r="J222" s="234"/>
      <c r="K222" s="234"/>
      <c r="L222" s="234"/>
      <c r="M222" s="234"/>
      <c r="N222" s="234"/>
      <c r="O222" s="234"/>
      <c r="P222" s="234"/>
      <c r="Q222" s="234"/>
      <c r="R222" s="234"/>
    </row>
    <row r="223" spans="1:18" ht="12.75" hidden="1" customHeight="1" x14ac:dyDescent="0.2">
      <c r="A223" s="234"/>
      <c r="B223" s="234"/>
      <c r="C223" s="234"/>
      <c r="D223" s="234"/>
      <c r="E223" s="234"/>
      <c r="F223" s="234"/>
      <c r="G223" s="234"/>
      <c r="H223" s="234"/>
      <c r="I223" s="234"/>
      <c r="J223" s="234"/>
      <c r="K223" s="234"/>
      <c r="L223" s="234"/>
      <c r="M223" s="234"/>
      <c r="N223" s="234"/>
      <c r="O223" s="234"/>
      <c r="P223" s="234"/>
      <c r="Q223" s="234"/>
      <c r="R223" s="234"/>
    </row>
    <row r="224" spans="1:18" ht="12.75" hidden="1" customHeight="1" x14ac:dyDescent="0.2">
      <c r="A224" s="234"/>
      <c r="B224" s="234"/>
      <c r="C224" s="234"/>
      <c r="D224" s="234"/>
      <c r="E224" s="234"/>
      <c r="F224" s="234"/>
      <c r="G224" s="234"/>
      <c r="H224" s="234"/>
      <c r="I224" s="234"/>
      <c r="J224" s="234"/>
      <c r="K224" s="234"/>
      <c r="L224" s="234"/>
      <c r="M224" s="234"/>
      <c r="N224" s="234"/>
      <c r="O224" s="234"/>
      <c r="P224" s="234"/>
      <c r="Q224" s="234"/>
      <c r="R224" s="234"/>
    </row>
    <row r="225" spans="1:18" ht="12.75" hidden="1" customHeight="1" x14ac:dyDescent="0.2">
      <c r="A225" s="234"/>
      <c r="B225" s="234"/>
      <c r="C225" s="234"/>
      <c r="D225" s="234"/>
      <c r="E225" s="234"/>
      <c r="F225" s="234"/>
      <c r="G225" s="234"/>
      <c r="H225" s="234"/>
      <c r="I225" s="234"/>
      <c r="J225" s="234"/>
      <c r="K225" s="234"/>
      <c r="L225" s="234"/>
      <c r="M225" s="234"/>
      <c r="N225" s="234"/>
      <c r="O225" s="234"/>
      <c r="P225" s="234"/>
      <c r="Q225" s="234"/>
      <c r="R225" s="234"/>
    </row>
    <row r="226" spans="1:18" ht="12.75" hidden="1" customHeight="1" x14ac:dyDescent="0.2">
      <c r="A226" s="234"/>
      <c r="B226" s="234"/>
      <c r="C226" s="234"/>
      <c r="D226" s="234"/>
      <c r="E226" s="234"/>
      <c r="F226" s="234"/>
      <c r="G226" s="234"/>
      <c r="H226" s="234"/>
      <c r="I226" s="234"/>
      <c r="J226" s="234"/>
      <c r="K226" s="234"/>
      <c r="L226" s="234"/>
      <c r="M226" s="234"/>
      <c r="N226" s="234"/>
      <c r="O226" s="234"/>
      <c r="P226" s="234"/>
      <c r="Q226" s="234"/>
      <c r="R226" s="234"/>
    </row>
    <row r="227" spans="1:18" ht="12.75" hidden="1" customHeight="1" x14ac:dyDescent="0.2">
      <c r="A227" s="234"/>
      <c r="B227" s="234"/>
      <c r="C227" s="234"/>
      <c r="D227" s="234"/>
      <c r="E227" s="234"/>
      <c r="F227" s="234"/>
      <c r="G227" s="234"/>
      <c r="H227" s="234"/>
      <c r="I227" s="234"/>
      <c r="J227" s="234"/>
      <c r="K227" s="234"/>
      <c r="L227" s="234"/>
      <c r="M227" s="234"/>
      <c r="N227" s="234"/>
      <c r="O227" s="234"/>
      <c r="P227" s="234"/>
      <c r="Q227" s="234"/>
      <c r="R227" s="234"/>
    </row>
    <row r="228" spans="1:18" ht="12.75" hidden="1" customHeight="1" x14ac:dyDescent="0.2">
      <c r="A228" s="234"/>
      <c r="B228" s="234"/>
      <c r="C228" s="234"/>
      <c r="D228" s="234"/>
      <c r="E228" s="234"/>
      <c r="F228" s="234"/>
      <c r="G228" s="234"/>
      <c r="H228" s="234"/>
      <c r="I228" s="234"/>
      <c r="J228" s="234"/>
      <c r="K228" s="234"/>
      <c r="L228" s="234"/>
      <c r="M228" s="234"/>
      <c r="N228" s="234"/>
      <c r="O228" s="234"/>
      <c r="P228" s="234"/>
      <c r="Q228" s="234"/>
      <c r="R228" s="234"/>
    </row>
    <row r="229" spans="1:18" ht="12.75" hidden="1" customHeight="1" x14ac:dyDescent="0.2">
      <c r="A229" s="234"/>
      <c r="B229" s="234"/>
      <c r="C229" s="234"/>
      <c r="D229" s="234"/>
      <c r="E229" s="234"/>
      <c r="F229" s="234"/>
      <c r="G229" s="234"/>
      <c r="H229" s="234"/>
      <c r="I229" s="234"/>
      <c r="J229" s="234"/>
      <c r="K229" s="234"/>
      <c r="L229" s="234"/>
      <c r="M229" s="234"/>
      <c r="N229" s="234"/>
      <c r="O229" s="234"/>
      <c r="P229" s="234"/>
      <c r="Q229" s="234"/>
      <c r="R229" s="234"/>
    </row>
    <row r="230" spans="1:18" ht="12.75" hidden="1" customHeight="1" x14ac:dyDescent="0.2">
      <c r="A230" s="234"/>
      <c r="B230" s="234"/>
      <c r="C230" s="234"/>
      <c r="D230" s="234"/>
      <c r="E230" s="234"/>
      <c r="F230" s="234"/>
      <c r="G230" s="234"/>
      <c r="H230" s="234"/>
      <c r="I230" s="234"/>
      <c r="J230" s="234"/>
      <c r="K230" s="234"/>
      <c r="L230" s="234"/>
      <c r="M230" s="234"/>
      <c r="N230" s="234"/>
      <c r="O230" s="234"/>
      <c r="P230" s="234"/>
      <c r="Q230" s="234"/>
      <c r="R230" s="234"/>
    </row>
    <row r="231" spans="1:18" ht="12.75" hidden="1" customHeight="1" x14ac:dyDescent="0.2">
      <c r="A231" s="234"/>
      <c r="B231" s="234"/>
      <c r="C231" s="234"/>
      <c r="D231" s="234"/>
      <c r="E231" s="234"/>
      <c r="F231" s="234"/>
      <c r="G231" s="234"/>
      <c r="H231" s="234"/>
      <c r="I231" s="234"/>
      <c r="J231" s="234"/>
      <c r="K231" s="234"/>
      <c r="L231" s="234"/>
      <c r="M231" s="234"/>
      <c r="N231" s="234"/>
      <c r="O231" s="234"/>
      <c r="P231" s="234"/>
      <c r="Q231" s="234"/>
      <c r="R231" s="234"/>
    </row>
    <row r="232" spans="1:18" ht="12.75" hidden="1" customHeight="1" x14ac:dyDescent="0.2">
      <c r="A232" s="234"/>
      <c r="B232" s="234"/>
      <c r="C232" s="234"/>
      <c r="D232" s="234"/>
      <c r="E232" s="234"/>
      <c r="F232" s="234"/>
      <c r="G232" s="234"/>
      <c r="H232" s="234"/>
      <c r="I232" s="234"/>
      <c r="J232" s="234"/>
      <c r="K232" s="234"/>
      <c r="L232" s="234"/>
      <c r="M232" s="234"/>
      <c r="N232" s="234"/>
      <c r="O232" s="234"/>
      <c r="P232" s="234"/>
      <c r="Q232" s="234"/>
      <c r="R232" s="234"/>
    </row>
    <row r="233" spans="1:18" ht="12.75" hidden="1" customHeight="1" x14ac:dyDescent="0.2">
      <c r="A233" s="234"/>
      <c r="B233" s="234"/>
      <c r="C233" s="234"/>
      <c r="D233" s="234"/>
      <c r="E233" s="234"/>
      <c r="F233" s="234"/>
      <c r="G233" s="234"/>
      <c r="H233" s="234"/>
      <c r="I233" s="234"/>
      <c r="J233" s="234"/>
      <c r="K233" s="234"/>
      <c r="L233" s="234"/>
      <c r="M233" s="234"/>
      <c r="N233" s="234"/>
      <c r="O233" s="234"/>
      <c r="P233" s="234"/>
      <c r="Q233" s="234"/>
      <c r="R233" s="234"/>
    </row>
    <row r="234" spans="1:18" ht="12.75" hidden="1" customHeight="1" x14ac:dyDescent="0.2">
      <c r="F234" s="234"/>
      <c r="G234" s="234"/>
      <c r="H234" s="234"/>
      <c r="I234" s="234"/>
      <c r="J234" s="234"/>
    </row>
  </sheetData>
  <sheetProtection password="CC01" sheet="1" objects="1" scenarios="1"/>
  <mergeCells count="66">
    <mergeCell ref="A55:B55"/>
    <mergeCell ref="C54:J54"/>
    <mergeCell ref="C55:J55"/>
    <mergeCell ref="C73:J73"/>
    <mergeCell ref="C77:J77"/>
    <mergeCell ref="C72:I72"/>
    <mergeCell ref="C59:J59"/>
    <mergeCell ref="G39:G40"/>
    <mergeCell ref="D46:E47"/>
    <mergeCell ref="H34:J34"/>
    <mergeCell ref="A43:B43"/>
    <mergeCell ref="A42:B42"/>
    <mergeCell ref="H43:J43"/>
    <mergeCell ref="H37:J37"/>
    <mergeCell ref="H38:J38"/>
    <mergeCell ref="H42:J42"/>
    <mergeCell ref="F34:F35"/>
    <mergeCell ref="F37:F38"/>
    <mergeCell ref="G36:J36"/>
    <mergeCell ref="H35:J35"/>
    <mergeCell ref="A35:C35"/>
    <mergeCell ref="B34:D34"/>
    <mergeCell ref="D38:D39"/>
    <mergeCell ref="A38:C39"/>
    <mergeCell ref="A23:B23"/>
    <mergeCell ref="F13:G13"/>
    <mergeCell ref="G18:G19"/>
    <mergeCell ref="F31:J32"/>
    <mergeCell ref="C17:C18"/>
    <mergeCell ref="A17:B18"/>
    <mergeCell ref="A28:D28"/>
    <mergeCell ref="F18:F19"/>
    <mergeCell ref="H18:H19"/>
    <mergeCell ref="H13:J13"/>
    <mergeCell ref="C19:C22"/>
    <mergeCell ref="F15:J15"/>
    <mergeCell ref="F39:F40"/>
    <mergeCell ref="A31:D31"/>
    <mergeCell ref="G33:J33"/>
    <mergeCell ref="B33:D33"/>
    <mergeCell ref="F16:F17"/>
    <mergeCell ref="G16:G17"/>
    <mergeCell ref="H16:H17"/>
    <mergeCell ref="A30:J30"/>
    <mergeCell ref="A26:J26"/>
    <mergeCell ref="I18:J19"/>
    <mergeCell ref="I16:J17"/>
    <mergeCell ref="A13:C16"/>
    <mergeCell ref="A19:B22"/>
    <mergeCell ref="B32:D32"/>
    <mergeCell ref="P9:Q9"/>
    <mergeCell ref="F7:G12"/>
    <mergeCell ref="A8:B9"/>
    <mergeCell ref="C8:C9"/>
    <mergeCell ref="A12:C12"/>
    <mergeCell ref="A11:C11"/>
    <mergeCell ref="A1:J1"/>
    <mergeCell ref="A4:J4"/>
    <mergeCell ref="A5:C5"/>
    <mergeCell ref="A6:C7"/>
    <mergeCell ref="F6:G6"/>
    <mergeCell ref="J2:K2"/>
    <mergeCell ref="F5:J5"/>
    <mergeCell ref="H6:J6"/>
    <mergeCell ref="H7:J12"/>
    <mergeCell ref="A10:B10"/>
  </mergeCells>
  <phoneticPr fontId="2" type="noConversion"/>
  <conditionalFormatting sqref="D43">
    <cfRule type="cellIs" priority="1" operator="equal">
      <formula>$C$43</formula>
    </cfRule>
    <cfRule type="cellIs" dxfId="9" priority="2" operator="greaterThan">
      <formula>$C$43</formula>
    </cfRule>
    <cfRule type="cellIs" dxfId="8" priority="3" operator="lessThan">
      <formula>$C$43</formula>
    </cfRule>
  </conditionalFormatting>
  <dataValidations count="1">
    <dataValidation type="list" allowBlank="1" showInputMessage="1" showErrorMessage="1" sqref="H34:H35 H37:H38">
      <formula1>$L$34:$L$37</formula1>
    </dataValidation>
  </dataValidations>
  <pageMargins left="0.7" right="0.7" top="0.75" bottom="0.75" header="0.3" footer="0.3"/>
  <pageSetup scale="35" orientation="landscape" r:id="rId1"/>
  <headerFooter>
    <oddHeader>&amp;CWest Virginia Stream and Wetland Valuation Metric (SWVM)
Version 2.1, September 2015</oddHeader>
    <oddFooter>&amp;CVersion 2.1, September 2011</oddFooter>
  </headerFooter>
  <drawing r:id="rId2"/>
  <legacyDrawing r:id="rId3"/>
  <controls>
    <mc:AlternateContent xmlns:mc="http://schemas.openxmlformats.org/markup-compatibility/2006">
      <mc:Choice Requires="x14">
        <control shapeId="16385" r:id="rId4" name="CheckBox1">
          <controlPr defaultSize="0" autoLine="0" linkedCell="D35" r:id="rId5">
            <anchor moveWithCells="1">
              <from>
                <xdr:col>0</xdr:col>
                <xdr:colOff>76200</xdr:colOff>
                <xdr:row>31</xdr:row>
                <xdr:rowOff>28575</xdr:rowOff>
              </from>
              <to>
                <xdr:col>0</xdr:col>
                <xdr:colOff>2447925</xdr:colOff>
                <xdr:row>31</xdr:row>
                <xdr:rowOff>285750</xdr:rowOff>
              </to>
            </anchor>
          </controlPr>
        </control>
      </mc:Choice>
      <mc:Fallback>
        <control shapeId="16385" r:id="rId4" name="CheckBox1"/>
      </mc:Fallback>
    </mc:AlternateContent>
    <mc:AlternateContent xmlns:mc="http://schemas.openxmlformats.org/markup-compatibility/2006">
      <mc:Choice Requires="x14">
        <control shapeId="16388" r:id="rId6" name="CheckBox2">
          <controlPr defaultSize="0" autoLine="0" linkedCell="D36" r:id="rId7">
            <anchor moveWithCells="1">
              <from>
                <xdr:col>0</xdr:col>
                <xdr:colOff>76200</xdr:colOff>
                <xdr:row>32</xdr:row>
                <xdr:rowOff>38100</xdr:rowOff>
              </from>
              <to>
                <xdr:col>0</xdr:col>
                <xdr:colOff>2400300</xdr:colOff>
                <xdr:row>32</xdr:row>
                <xdr:rowOff>266700</xdr:rowOff>
              </to>
            </anchor>
          </controlPr>
        </control>
      </mc:Choice>
      <mc:Fallback>
        <control shapeId="16388" r:id="rId6" name="CheckBox2"/>
      </mc:Fallback>
    </mc:AlternateContent>
    <mc:AlternateContent xmlns:mc="http://schemas.openxmlformats.org/markup-compatibility/2006">
      <mc:Choice Requires="x14">
        <control shapeId="16389" r:id="rId8" name="CheckBox3">
          <controlPr defaultSize="0" autoLine="0" linkedCell="D37" r:id="rId9">
            <anchor moveWithCells="1">
              <from>
                <xdr:col>0</xdr:col>
                <xdr:colOff>76200</xdr:colOff>
                <xdr:row>33</xdr:row>
                <xdr:rowOff>38100</xdr:rowOff>
              </from>
              <to>
                <xdr:col>0</xdr:col>
                <xdr:colOff>2171700</xdr:colOff>
                <xdr:row>33</xdr:row>
                <xdr:rowOff>238125</xdr:rowOff>
              </to>
            </anchor>
          </controlPr>
        </control>
      </mc:Choice>
      <mc:Fallback>
        <control shapeId="16389" r:id="rId8" name="CheckBox3"/>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83"/>
  <sheetViews>
    <sheetView showGridLines="0" view="pageLayout" zoomScaleNormal="90" workbookViewId="0">
      <selection activeCell="A2" sqref="A2:B2"/>
    </sheetView>
  </sheetViews>
  <sheetFormatPr defaultColWidth="0" defaultRowHeight="12.75" zeroHeight="1" x14ac:dyDescent="0.2"/>
  <cols>
    <col min="1" max="1" width="10.5703125" style="11" bestFit="1" customWidth="1"/>
    <col min="2" max="2" width="24.85546875" style="11" customWidth="1"/>
    <col min="3" max="3" width="13" style="12" customWidth="1"/>
    <col min="4" max="4" width="12.7109375" style="12" bestFit="1" customWidth="1"/>
    <col min="5" max="5" width="12.7109375" bestFit="1" customWidth="1"/>
    <col min="6" max="6" width="18.42578125" customWidth="1"/>
    <col min="7" max="7" width="2.140625" customWidth="1"/>
    <col min="8" max="8" width="8.85546875" hidden="1" customWidth="1"/>
    <col min="9" max="17" width="0" hidden="1" customWidth="1"/>
    <col min="18" max="16384" width="9.140625" hidden="1"/>
  </cols>
  <sheetData>
    <row r="1" spans="1:17" ht="22.5" customHeight="1" thickBot="1" x14ac:dyDescent="0.3">
      <c r="A1" s="655" t="s">
        <v>136</v>
      </c>
      <c r="B1" s="656"/>
      <c r="C1" s="656"/>
      <c r="D1" s="656"/>
      <c r="E1" s="656"/>
      <c r="F1" s="657"/>
      <c r="G1" s="155"/>
      <c r="H1" s="155"/>
      <c r="I1" s="155"/>
      <c r="J1" s="155"/>
      <c r="K1" s="155"/>
      <c r="L1" s="155"/>
      <c r="M1" s="155"/>
      <c r="N1" s="155"/>
      <c r="O1" s="155"/>
      <c r="P1" s="155"/>
      <c r="Q1" s="155"/>
    </row>
    <row r="2" spans="1:17" ht="57" customHeight="1" x14ac:dyDescent="0.2">
      <c r="A2" s="660" t="s">
        <v>129</v>
      </c>
      <c r="B2" s="661"/>
      <c r="C2" s="217" t="s">
        <v>130</v>
      </c>
      <c r="D2" s="217" t="s">
        <v>131</v>
      </c>
      <c r="E2" s="218" t="s">
        <v>132</v>
      </c>
      <c r="F2" s="218" t="s">
        <v>133</v>
      </c>
      <c r="G2" s="155"/>
      <c r="H2" s="155"/>
      <c r="I2" s="155"/>
      <c r="J2" s="155"/>
      <c r="K2" s="155"/>
      <c r="L2" s="155"/>
      <c r="M2" s="155"/>
      <c r="N2" s="155"/>
      <c r="O2" s="155"/>
      <c r="P2" s="155"/>
      <c r="Q2" s="155"/>
    </row>
    <row r="3" spans="1:17" ht="15.75" x14ac:dyDescent="0.2">
      <c r="A3" s="658" t="s">
        <v>358</v>
      </c>
      <c r="B3" s="659"/>
      <c r="C3" s="179">
        <v>38.208333333333336</v>
      </c>
      <c r="D3" s="374">
        <v>44.219345238095237</v>
      </c>
      <c r="E3" s="64">
        <f>IF(D3&lt;0,C3+D3,D3-C3)</f>
        <v>6.0110119047619008</v>
      </c>
      <c r="F3" s="64">
        <f>E3</f>
        <v>6.0110119047619008</v>
      </c>
      <c r="G3" s="155"/>
      <c r="H3" s="224"/>
      <c r="I3" s="155"/>
      <c r="J3" s="155"/>
      <c r="K3" s="155"/>
      <c r="L3" s="155"/>
      <c r="M3" s="155"/>
      <c r="N3" s="155"/>
      <c r="O3" s="155"/>
      <c r="P3" s="155"/>
      <c r="Q3" s="155"/>
    </row>
    <row r="4" spans="1:17" x14ac:dyDescent="0.2">
      <c r="A4" s="662"/>
      <c r="B4" s="663"/>
      <c r="C4" s="167"/>
      <c r="D4" s="168"/>
      <c r="E4" s="145">
        <f t="shared" ref="E4:E48" si="0">IF(D4&lt;0,C4+D4,D4-C4)</f>
        <v>0</v>
      </c>
      <c r="F4" s="64">
        <f>F3+E4</f>
        <v>6.0110119047619008</v>
      </c>
      <c r="G4" s="155"/>
      <c r="H4" s="155"/>
      <c r="I4" s="155"/>
      <c r="J4" s="155"/>
      <c r="K4" s="155"/>
      <c r="L4" s="155"/>
      <c r="M4" s="155"/>
      <c r="N4" s="155"/>
      <c r="O4" s="155"/>
      <c r="P4" s="155"/>
      <c r="Q4" s="155"/>
    </row>
    <row r="5" spans="1:17" x14ac:dyDescent="0.2">
      <c r="A5" s="664"/>
      <c r="B5" s="665"/>
      <c r="C5" s="146"/>
      <c r="D5" s="146"/>
      <c r="E5" s="64">
        <f t="shared" si="0"/>
        <v>0</v>
      </c>
      <c r="F5" s="64">
        <f t="shared" ref="F5:F47" si="1">F4+E5</f>
        <v>6.0110119047619008</v>
      </c>
      <c r="G5" s="155"/>
      <c r="H5" s="155"/>
      <c r="I5" s="155"/>
      <c r="J5" s="155"/>
      <c r="K5" s="155"/>
      <c r="L5" s="155"/>
      <c r="M5" s="155"/>
      <c r="N5" s="155"/>
      <c r="O5" s="155"/>
      <c r="P5" s="155"/>
      <c r="Q5" s="155"/>
    </row>
    <row r="6" spans="1:17" x14ac:dyDescent="0.2">
      <c r="A6" s="664"/>
      <c r="B6" s="665"/>
      <c r="C6" s="66"/>
      <c r="D6" s="69"/>
      <c r="E6" s="64">
        <f t="shared" si="0"/>
        <v>0</v>
      </c>
      <c r="F6" s="64">
        <f t="shared" si="1"/>
        <v>6.0110119047619008</v>
      </c>
      <c r="G6" s="155"/>
      <c r="H6" s="155"/>
      <c r="I6" s="155"/>
      <c r="J6" s="155"/>
      <c r="K6" s="155"/>
      <c r="L6" s="155"/>
      <c r="M6" s="155"/>
      <c r="N6" s="155"/>
      <c r="O6" s="155"/>
      <c r="P6" s="155"/>
      <c r="Q6" s="155"/>
    </row>
    <row r="7" spans="1:17" x14ac:dyDescent="0.2">
      <c r="A7" s="664"/>
      <c r="B7" s="665"/>
      <c r="C7" s="69"/>
      <c r="D7" s="67"/>
      <c r="E7" s="64">
        <f t="shared" si="0"/>
        <v>0</v>
      </c>
      <c r="F7" s="64">
        <f t="shared" si="1"/>
        <v>6.0110119047619008</v>
      </c>
      <c r="G7" s="155"/>
      <c r="H7" s="155"/>
      <c r="I7" s="155"/>
      <c r="J7" s="155"/>
      <c r="K7" s="155"/>
      <c r="L7" s="155"/>
      <c r="M7" s="155"/>
      <c r="N7" s="155"/>
      <c r="O7" s="155"/>
      <c r="P7" s="155"/>
      <c r="Q7" s="155"/>
    </row>
    <row r="8" spans="1:17" x14ac:dyDescent="0.2">
      <c r="A8" s="664"/>
      <c r="B8" s="665"/>
      <c r="C8" s="69"/>
      <c r="D8" s="69"/>
      <c r="E8" s="64">
        <f t="shared" si="0"/>
        <v>0</v>
      </c>
      <c r="F8" s="64">
        <f t="shared" si="1"/>
        <v>6.0110119047619008</v>
      </c>
      <c r="G8" s="155"/>
      <c r="H8" s="155"/>
      <c r="I8" s="155"/>
      <c r="J8" s="155"/>
      <c r="K8" s="155"/>
      <c r="L8" s="155"/>
      <c r="M8" s="155"/>
      <c r="N8" s="155"/>
      <c r="O8" s="155"/>
      <c r="P8" s="155"/>
      <c r="Q8" s="155"/>
    </row>
    <row r="9" spans="1:17" x14ac:dyDescent="0.2">
      <c r="A9" s="664"/>
      <c r="B9" s="665"/>
      <c r="C9" s="69"/>
      <c r="D9" s="69"/>
      <c r="E9" s="64">
        <f t="shared" si="0"/>
        <v>0</v>
      </c>
      <c r="F9" s="64">
        <f t="shared" si="1"/>
        <v>6.0110119047619008</v>
      </c>
      <c r="G9" s="155"/>
      <c r="H9" s="155"/>
      <c r="I9" s="155"/>
      <c r="J9" s="155"/>
      <c r="K9" s="155"/>
      <c r="L9" s="155"/>
      <c r="M9" s="155"/>
      <c r="N9" s="155"/>
      <c r="O9" s="155"/>
      <c r="P9" s="155"/>
      <c r="Q9" s="155"/>
    </row>
    <row r="10" spans="1:17" x14ac:dyDescent="0.2">
      <c r="A10" s="664"/>
      <c r="B10" s="665"/>
      <c r="C10" s="69"/>
      <c r="D10" s="69"/>
      <c r="E10" s="64">
        <f t="shared" si="0"/>
        <v>0</v>
      </c>
      <c r="F10" s="64">
        <f t="shared" si="1"/>
        <v>6.0110119047619008</v>
      </c>
      <c r="G10" s="155"/>
      <c r="H10" s="155"/>
      <c r="I10" s="155"/>
      <c r="J10" s="155"/>
      <c r="K10" s="155"/>
      <c r="L10" s="155"/>
      <c r="M10" s="155"/>
      <c r="N10" s="155"/>
      <c r="O10" s="155"/>
      <c r="P10" s="155"/>
      <c r="Q10" s="155"/>
    </row>
    <row r="11" spans="1:17" x14ac:dyDescent="0.2">
      <c r="A11" s="664"/>
      <c r="B11" s="665"/>
      <c r="C11" s="69"/>
      <c r="D11" s="67"/>
      <c r="E11" s="64">
        <f t="shared" si="0"/>
        <v>0</v>
      </c>
      <c r="F11" s="64">
        <f t="shared" si="1"/>
        <v>6.0110119047619008</v>
      </c>
      <c r="G11" s="155"/>
      <c r="H11" s="155"/>
      <c r="I11" s="155"/>
      <c r="J11" s="155"/>
      <c r="K11" s="155"/>
      <c r="L11" s="155"/>
      <c r="M11" s="155"/>
      <c r="N11" s="155"/>
      <c r="O11" s="155"/>
      <c r="P11" s="155"/>
      <c r="Q11" s="155"/>
    </row>
    <row r="12" spans="1:17" x14ac:dyDescent="0.2">
      <c r="A12" s="664"/>
      <c r="B12" s="665"/>
      <c r="C12" s="69"/>
      <c r="D12" s="69"/>
      <c r="E12" s="64">
        <f t="shared" si="0"/>
        <v>0</v>
      </c>
      <c r="F12" s="64">
        <f t="shared" si="1"/>
        <v>6.0110119047619008</v>
      </c>
      <c r="G12" s="155"/>
      <c r="H12" s="155"/>
      <c r="I12" s="155"/>
      <c r="J12" s="155"/>
      <c r="K12" s="155"/>
      <c r="L12" s="155"/>
      <c r="M12" s="155"/>
      <c r="N12" s="155"/>
      <c r="O12" s="155"/>
      <c r="P12" s="155"/>
      <c r="Q12" s="155"/>
    </row>
    <row r="13" spans="1:17" x14ac:dyDescent="0.2">
      <c r="A13" s="664"/>
      <c r="B13" s="665"/>
      <c r="C13" s="69"/>
      <c r="D13" s="69"/>
      <c r="E13" s="64">
        <f t="shared" si="0"/>
        <v>0</v>
      </c>
      <c r="F13" s="64">
        <f t="shared" si="1"/>
        <v>6.0110119047619008</v>
      </c>
      <c r="G13" s="155"/>
      <c r="H13" s="155"/>
      <c r="I13" s="155"/>
      <c r="J13" s="155"/>
      <c r="K13" s="155"/>
      <c r="L13" s="155"/>
      <c r="M13" s="155"/>
      <c r="N13" s="155"/>
      <c r="O13" s="155"/>
      <c r="P13" s="155"/>
      <c r="Q13" s="155"/>
    </row>
    <row r="14" spans="1:17" x14ac:dyDescent="0.2">
      <c r="A14" s="664"/>
      <c r="B14" s="665"/>
      <c r="C14" s="69"/>
      <c r="D14" s="67"/>
      <c r="E14" s="64">
        <f t="shared" si="0"/>
        <v>0</v>
      </c>
      <c r="F14" s="64">
        <f t="shared" si="1"/>
        <v>6.0110119047619008</v>
      </c>
      <c r="G14" s="155"/>
      <c r="H14" s="155"/>
      <c r="I14" s="155"/>
      <c r="J14" s="155"/>
      <c r="K14" s="155"/>
      <c r="L14" s="155"/>
      <c r="M14" s="155"/>
      <c r="N14" s="155"/>
      <c r="O14" s="155"/>
      <c r="P14" s="155"/>
      <c r="Q14" s="155"/>
    </row>
    <row r="15" spans="1:17" x14ac:dyDescent="0.2">
      <c r="A15" s="664"/>
      <c r="B15" s="665"/>
      <c r="C15" s="69"/>
      <c r="D15" s="69"/>
      <c r="E15" s="64">
        <f t="shared" si="0"/>
        <v>0</v>
      </c>
      <c r="F15" s="64">
        <f t="shared" si="1"/>
        <v>6.0110119047619008</v>
      </c>
      <c r="G15" s="155"/>
      <c r="H15" s="155"/>
      <c r="I15" s="155"/>
      <c r="J15" s="155"/>
      <c r="K15" s="155"/>
      <c r="L15" s="155"/>
      <c r="M15" s="155"/>
      <c r="N15" s="155"/>
      <c r="O15" s="155"/>
      <c r="P15" s="155"/>
      <c r="Q15" s="155"/>
    </row>
    <row r="16" spans="1:17" x14ac:dyDescent="0.2">
      <c r="A16" s="664"/>
      <c r="B16" s="665"/>
      <c r="C16" s="69"/>
      <c r="D16" s="69"/>
      <c r="E16" s="64">
        <f t="shared" si="0"/>
        <v>0</v>
      </c>
      <c r="F16" s="64">
        <f t="shared" si="1"/>
        <v>6.0110119047619008</v>
      </c>
      <c r="G16" s="155"/>
      <c r="H16" s="155"/>
      <c r="I16" s="155"/>
      <c r="J16" s="155"/>
      <c r="K16" s="155"/>
      <c r="L16" s="155"/>
      <c r="M16" s="155"/>
      <c r="N16" s="155"/>
      <c r="O16" s="155"/>
      <c r="P16" s="155"/>
      <c r="Q16" s="155"/>
    </row>
    <row r="17" spans="1:17" x14ac:dyDescent="0.2">
      <c r="A17" s="664"/>
      <c r="B17" s="665"/>
      <c r="C17" s="69"/>
      <c r="D17" s="69"/>
      <c r="E17" s="64">
        <f t="shared" si="0"/>
        <v>0</v>
      </c>
      <c r="F17" s="64">
        <f t="shared" si="1"/>
        <v>6.0110119047619008</v>
      </c>
      <c r="G17" s="155"/>
      <c r="H17" s="155"/>
      <c r="I17" s="155"/>
      <c r="J17" s="155"/>
      <c r="K17" s="155"/>
      <c r="L17" s="155"/>
      <c r="M17" s="155"/>
      <c r="N17" s="155"/>
      <c r="O17" s="155"/>
      <c r="P17" s="155"/>
      <c r="Q17" s="155"/>
    </row>
    <row r="18" spans="1:17" x14ac:dyDescent="0.2">
      <c r="A18" s="664"/>
      <c r="B18" s="665"/>
      <c r="C18" s="69"/>
      <c r="D18" s="69"/>
      <c r="E18" s="64">
        <f t="shared" si="0"/>
        <v>0</v>
      </c>
      <c r="F18" s="64">
        <f t="shared" si="1"/>
        <v>6.0110119047619008</v>
      </c>
      <c r="G18" s="155"/>
      <c r="H18" s="155"/>
      <c r="I18" s="155"/>
      <c r="J18" s="155"/>
      <c r="K18" s="155"/>
      <c r="L18" s="155"/>
      <c r="M18" s="155"/>
      <c r="N18" s="155"/>
      <c r="O18" s="155"/>
      <c r="P18" s="155"/>
      <c r="Q18" s="155"/>
    </row>
    <row r="19" spans="1:17" x14ac:dyDescent="0.2">
      <c r="A19" s="664"/>
      <c r="B19" s="665"/>
      <c r="C19" s="66"/>
      <c r="D19" s="67"/>
      <c r="E19" s="64">
        <f t="shared" si="0"/>
        <v>0</v>
      </c>
      <c r="F19" s="64">
        <f t="shared" si="1"/>
        <v>6.0110119047619008</v>
      </c>
      <c r="G19" s="155"/>
      <c r="H19" s="155"/>
      <c r="I19" s="155"/>
      <c r="J19" s="155"/>
      <c r="K19" s="155"/>
      <c r="L19" s="155"/>
      <c r="M19" s="155"/>
      <c r="N19" s="155"/>
      <c r="O19" s="155"/>
      <c r="P19" s="155"/>
      <c r="Q19" s="155"/>
    </row>
    <row r="20" spans="1:17" x14ac:dyDescent="0.2">
      <c r="A20" s="664"/>
      <c r="B20" s="665"/>
      <c r="C20" s="69"/>
      <c r="D20" s="69"/>
      <c r="E20" s="64">
        <f t="shared" si="0"/>
        <v>0</v>
      </c>
      <c r="F20" s="64">
        <f t="shared" si="1"/>
        <v>6.0110119047619008</v>
      </c>
      <c r="G20" s="155"/>
      <c r="H20" s="155"/>
      <c r="I20" s="155"/>
      <c r="J20" s="155"/>
      <c r="K20" s="155"/>
      <c r="L20" s="155"/>
      <c r="M20" s="155"/>
      <c r="N20" s="155"/>
      <c r="O20" s="155"/>
      <c r="P20" s="155"/>
      <c r="Q20" s="155"/>
    </row>
    <row r="21" spans="1:17" x14ac:dyDescent="0.2">
      <c r="A21" s="664"/>
      <c r="B21" s="665"/>
      <c r="C21" s="69"/>
      <c r="D21" s="69"/>
      <c r="E21" s="64">
        <f t="shared" si="0"/>
        <v>0</v>
      </c>
      <c r="F21" s="64">
        <f t="shared" si="1"/>
        <v>6.0110119047619008</v>
      </c>
      <c r="G21" s="155"/>
      <c r="H21" s="155"/>
      <c r="I21" s="155"/>
      <c r="J21" s="155"/>
      <c r="K21" s="155"/>
      <c r="L21" s="155"/>
      <c r="M21" s="155"/>
      <c r="N21" s="155"/>
      <c r="O21" s="155"/>
      <c r="P21" s="155"/>
      <c r="Q21" s="155"/>
    </row>
    <row r="22" spans="1:17" x14ac:dyDescent="0.2">
      <c r="A22" s="664"/>
      <c r="B22" s="665"/>
      <c r="C22" s="69"/>
      <c r="D22" s="67"/>
      <c r="E22" s="64">
        <f t="shared" si="0"/>
        <v>0</v>
      </c>
      <c r="F22" s="64">
        <f t="shared" si="1"/>
        <v>6.0110119047619008</v>
      </c>
      <c r="G22" s="155"/>
      <c r="H22" s="155"/>
      <c r="I22" s="155"/>
      <c r="J22" s="155"/>
      <c r="K22" s="155"/>
      <c r="L22" s="155"/>
      <c r="M22" s="155"/>
      <c r="N22" s="155"/>
      <c r="O22" s="155"/>
      <c r="P22" s="155"/>
      <c r="Q22" s="155"/>
    </row>
    <row r="23" spans="1:17" x14ac:dyDescent="0.2">
      <c r="A23" s="664"/>
      <c r="B23" s="665"/>
      <c r="C23" s="69"/>
      <c r="D23" s="69"/>
      <c r="E23" s="64">
        <f t="shared" si="0"/>
        <v>0</v>
      </c>
      <c r="F23" s="64">
        <f>F22+E23</f>
        <v>6.0110119047619008</v>
      </c>
      <c r="G23" s="155"/>
      <c r="H23" s="155"/>
      <c r="I23" s="155"/>
      <c r="J23" s="155"/>
      <c r="K23" s="155"/>
      <c r="L23" s="155"/>
      <c r="M23" s="155"/>
      <c r="N23" s="155"/>
      <c r="O23" s="155"/>
      <c r="P23" s="155"/>
      <c r="Q23" s="155"/>
    </row>
    <row r="24" spans="1:17" x14ac:dyDescent="0.2">
      <c r="A24" s="664"/>
      <c r="B24" s="665"/>
      <c r="C24" s="69"/>
      <c r="D24" s="67"/>
      <c r="E24" s="64">
        <f t="shared" si="0"/>
        <v>0</v>
      </c>
      <c r="F24" s="64">
        <f t="shared" si="1"/>
        <v>6.0110119047619008</v>
      </c>
      <c r="G24" s="155"/>
      <c r="H24" s="155"/>
      <c r="I24" s="155"/>
      <c r="J24" s="155"/>
      <c r="K24" s="155"/>
      <c r="L24" s="155"/>
      <c r="M24" s="155"/>
      <c r="N24" s="155"/>
      <c r="O24" s="155"/>
      <c r="P24" s="155"/>
      <c r="Q24" s="155"/>
    </row>
    <row r="25" spans="1:17" x14ac:dyDescent="0.2">
      <c r="A25" s="664"/>
      <c r="B25" s="665"/>
      <c r="C25" s="69"/>
      <c r="D25" s="67"/>
      <c r="E25" s="64">
        <f t="shared" si="0"/>
        <v>0</v>
      </c>
      <c r="F25" s="64">
        <f t="shared" si="1"/>
        <v>6.0110119047619008</v>
      </c>
      <c r="G25" s="155"/>
      <c r="H25" s="155"/>
      <c r="I25" s="155"/>
      <c r="J25" s="155"/>
      <c r="K25" s="155"/>
      <c r="L25" s="155"/>
      <c r="M25" s="155"/>
      <c r="N25" s="155"/>
      <c r="O25" s="155"/>
      <c r="P25" s="155"/>
      <c r="Q25" s="155"/>
    </row>
    <row r="26" spans="1:17" x14ac:dyDescent="0.2">
      <c r="A26" s="664"/>
      <c r="B26" s="665"/>
      <c r="C26" s="69"/>
      <c r="D26" s="67"/>
      <c r="E26" s="64">
        <f t="shared" si="0"/>
        <v>0</v>
      </c>
      <c r="F26" s="64">
        <f t="shared" si="1"/>
        <v>6.0110119047619008</v>
      </c>
      <c r="G26" s="155"/>
      <c r="H26" s="155"/>
      <c r="I26" s="155"/>
      <c r="J26" s="155"/>
      <c r="K26" s="155"/>
      <c r="L26" s="155"/>
      <c r="M26" s="155"/>
      <c r="N26" s="155"/>
      <c r="O26" s="155"/>
      <c r="P26" s="155"/>
      <c r="Q26" s="155"/>
    </row>
    <row r="27" spans="1:17" x14ac:dyDescent="0.2">
      <c r="A27" s="664"/>
      <c r="B27" s="665"/>
      <c r="C27" s="69"/>
      <c r="D27" s="67"/>
      <c r="E27" s="64">
        <f t="shared" si="0"/>
        <v>0</v>
      </c>
      <c r="F27" s="64">
        <f t="shared" si="1"/>
        <v>6.0110119047619008</v>
      </c>
      <c r="G27" s="155"/>
      <c r="H27" s="155"/>
      <c r="I27" s="155"/>
      <c r="J27" s="155"/>
      <c r="K27" s="155"/>
      <c r="L27" s="155"/>
      <c r="M27" s="155"/>
      <c r="N27" s="155"/>
      <c r="O27" s="155"/>
      <c r="P27" s="155"/>
      <c r="Q27" s="155"/>
    </row>
    <row r="28" spans="1:17" x14ac:dyDescent="0.2">
      <c r="A28" s="664"/>
      <c r="B28" s="665"/>
      <c r="C28" s="69"/>
      <c r="D28" s="67"/>
      <c r="E28" s="64">
        <f t="shared" si="0"/>
        <v>0</v>
      </c>
      <c r="F28" s="64">
        <f t="shared" si="1"/>
        <v>6.0110119047619008</v>
      </c>
      <c r="G28" s="155"/>
      <c r="H28" s="155"/>
      <c r="I28" s="155"/>
      <c r="J28" s="155"/>
      <c r="K28" s="155"/>
      <c r="L28" s="155"/>
      <c r="M28" s="155"/>
      <c r="N28" s="155"/>
      <c r="O28" s="155"/>
      <c r="P28" s="155"/>
      <c r="Q28" s="155"/>
    </row>
    <row r="29" spans="1:17" x14ac:dyDescent="0.2">
      <c r="A29" s="664"/>
      <c r="B29" s="665"/>
      <c r="C29" s="70"/>
      <c r="D29" s="68"/>
      <c r="E29" s="64">
        <f t="shared" si="0"/>
        <v>0</v>
      </c>
      <c r="F29" s="64">
        <f t="shared" si="1"/>
        <v>6.0110119047619008</v>
      </c>
      <c r="G29" s="155"/>
      <c r="H29" s="155"/>
      <c r="I29" s="155"/>
      <c r="J29" s="155"/>
      <c r="K29" s="155"/>
      <c r="L29" s="155"/>
      <c r="M29" s="155"/>
      <c r="N29" s="155"/>
      <c r="O29" s="155"/>
      <c r="P29" s="155"/>
      <c r="Q29" s="155"/>
    </row>
    <row r="30" spans="1:17" x14ac:dyDescent="0.2">
      <c r="A30" s="664"/>
      <c r="B30" s="665"/>
      <c r="C30" s="70"/>
      <c r="D30" s="65"/>
      <c r="E30" s="64">
        <f t="shared" si="0"/>
        <v>0</v>
      </c>
      <c r="F30" s="64">
        <f t="shared" si="1"/>
        <v>6.0110119047619008</v>
      </c>
      <c r="G30" s="155"/>
      <c r="H30" s="155"/>
      <c r="I30" s="155"/>
      <c r="J30" s="155"/>
      <c r="K30" s="155"/>
      <c r="L30" s="155"/>
      <c r="M30" s="155"/>
      <c r="N30" s="155"/>
      <c r="O30" s="155"/>
      <c r="P30" s="155"/>
      <c r="Q30" s="155"/>
    </row>
    <row r="31" spans="1:17" x14ac:dyDescent="0.2">
      <c r="A31" s="664"/>
      <c r="B31" s="665"/>
      <c r="C31" s="70"/>
      <c r="D31" s="65"/>
      <c r="E31" s="64">
        <f t="shared" si="0"/>
        <v>0</v>
      </c>
      <c r="F31" s="64">
        <f t="shared" si="1"/>
        <v>6.0110119047619008</v>
      </c>
      <c r="G31" s="155"/>
      <c r="H31" s="155"/>
      <c r="I31" s="155"/>
      <c r="J31" s="155"/>
      <c r="K31" s="155"/>
      <c r="L31" s="155"/>
      <c r="M31" s="155"/>
      <c r="N31" s="155"/>
      <c r="O31" s="155"/>
      <c r="P31" s="155"/>
      <c r="Q31" s="155"/>
    </row>
    <row r="32" spans="1:17" x14ac:dyDescent="0.2">
      <c r="A32" s="664"/>
      <c r="B32" s="665"/>
      <c r="C32" s="70"/>
      <c r="D32" s="65"/>
      <c r="E32" s="64">
        <f t="shared" si="0"/>
        <v>0</v>
      </c>
      <c r="F32" s="64">
        <f t="shared" si="1"/>
        <v>6.0110119047619008</v>
      </c>
      <c r="G32" s="155"/>
      <c r="H32" s="155"/>
      <c r="I32" s="155"/>
      <c r="J32" s="155"/>
      <c r="K32" s="155"/>
      <c r="L32" s="155"/>
      <c r="M32" s="155"/>
      <c r="N32" s="155"/>
      <c r="O32" s="155"/>
      <c r="P32" s="155"/>
      <c r="Q32" s="155"/>
    </row>
    <row r="33" spans="1:17" x14ac:dyDescent="0.2">
      <c r="A33" s="664"/>
      <c r="B33" s="665"/>
      <c r="C33" s="70"/>
      <c r="D33" s="65"/>
      <c r="E33" s="64">
        <f t="shared" si="0"/>
        <v>0</v>
      </c>
      <c r="F33" s="64">
        <f t="shared" si="1"/>
        <v>6.0110119047619008</v>
      </c>
      <c r="G33" s="155"/>
      <c r="H33" s="155"/>
      <c r="I33" s="155"/>
      <c r="J33" s="155"/>
      <c r="K33" s="155"/>
      <c r="L33" s="155"/>
      <c r="M33" s="155"/>
      <c r="N33" s="155"/>
      <c r="O33" s="155"/>
      <c r="P33" s="155"/>
      <c r="Q33" s="155"/>
    </row>
    <row r="34" spans="1:17" x14ac:dyDescent="0.2">
      <c r="A34" s="664"/>
      <c r="B34" s="665"/>
      <c r="C34" s="70"/>
      <c r="D34" s="65"/>
      <c r="E34" s="64">
        <f t="shared" si="0"/>
        <v>0</v>
      </c>
      <c r="F34" s="64">
        <f t="shared" si="1"/>
        <v>6.0110119047619008</v>
      </c>
      <c r="G34" s="155"/>
      <c r="H34" s="155"/>
      <c r="I34" s="155"/>
      <c r="J34" s="155"/>
      <c r="K34" s="155"/>
      <c r="L34" s="155"/>
      <c r="M34" s="155"/>
      <c r="N34" s="155"/>
      <c r="O34" s="155"/>
      <c r="P34" s="155"/>
      <c r="Q34" s="155"/>
    </row>
    <row r="35" spans="1:17" x14ac:dyDescent="0.2">
      <c r="A35" s="664"/>
      <c r="B35" s="665"/>
      <c r="C35" s="70"/>
      <c r="D35" s="68"/>
      <c r="E35" s="64">
        <f t="shared" si="0"/>
        <v>0</v>
      </c>
      <c r="F35" s="64">
        <f t="shared" si="1"/>
        <v>6.0110119047619008</v>
      </c>
      <c r="G35" s="155"/>
      <c r="H35" s="155"/>
      <c r="I35" s="155"/>
      <c r="J35" s="155"/>
      <c r="K35" s="155"/>
      <c r="L35" s="155"/>
      <c r="M35" s="155"/>
      <c r="N35" s="155"/>
      <c r="O35" s="155"/>
      <c r="P35" s="155"/>
      <c r="Q35" s="155"/>
    </row>
    <row r="36" spans="1:17" x14ac:dyDescent="0.2">
      <c r="A36" s="664"/>
      <c r="B36" s="665"/>
      <c r="C36" s="70"/>
      <c r="D36" s="65"/>
      <c r="E36" s="64">
        <f t="shared" si="0"/>
        <v>0</v>
      </c>
      <c r="F36" s="64">
        <f t="shared" si="1"/>
        <v>6.0110119047619008</v>
      </c>
      <c r="G36" s="155"/>
      <c r="H36" s="155"/>
      <c r="I36" s="155"/>
      <c r="J36" s="155"/>
      <c r="K36" s="155"/>
      <c r="L36" s="155"/>
      <c r="M36" s="155"/>
      <c r="N36" s="155"/>
      <c r="O36" s="155"/>
      <c r="P36" s="155"/>
      <c r="Q36" s="155"/>
    </row>
    <row r="37" spans="1:17" x14ac:dyDescent="0.2">
      <c r="A37" s="666"/>
      <c r="B37" s="667"/>
      <c r="C37" s="70"/>
      <c r="D37" s="66"/>
      <c r="E37" s="64">
        <f t="shared" si="0"/>
        <v>0</v>
      </c>
      <c r="F37" s="64">
        <f t="shared" si="1"/>
        <v>6.0110119047619008</v>
      </c>
      <c r="G37" s="155"/>
      <c r="H37" s="155"/>
      <c r="I37" s="155"/>
      <c r="J37" s="155"/>
      <c r="K37" s="155"/>
      <c r="L37" s="155"/>
      <c r="M37" s="155"/>
      <c r="N37" s="155"/>
      <c r="O37" s="155"/>
      <c r="P37" s="155"/>
      <c r="Q37" s="155"/>
    </row>
    <row r="38" spans="1:17" x14ac:dyDescent="0.2">
      <c r="A38" s="664"/>
      <c r="B38" s="665"/>
      <c r="C38" s="70"/>
      <c r="D38" s="65"/>
      <c r="E38" s="64">
        <f t="shared" si="0"/>
        <v>0</v>
      </c>
      <c r="F38" s="64">
        <f t="shared" si="1"/>
        <v>6.0110119047619008</v>
      </c>
      <c r="G38" s="155"/>
      <c r="H38" s="155"/>
      <c r="I38" s="155"/>
      <c r="J38" s="155"/>
      <c r="K38" s="155"/>
      <c r="L38" s="155"/>
      <c r="M38" s="155"/>
      <c r="N38" s="155"/>
      <c r="O38" s="155"/>
      <c r="P38" s="155"/>
      <c r="Q38" s="155"/>
    </row>
    <row r="39" spans="1:17" x14ac:dyDescent="0.2">
      <c r="A39" s="664"/>
      <c r="B39" s="665"/>
      <c r="C39" s="70"/>
      <c r="D39" s="65"/>
      <c r="E39" s="64">
        <f t="shared" si="0"/>
        <v>0</v>
      </c>
      <c r="F39" s="64">
        <f t="shared" si="1"/>
        <v>6.0110119047619008</v>
      </c>
      <c r="G39" s="155"/>
      <c r="H39" s="155"/>
      <c r="I39" s="155"/>
      <c r="J39" s="155"/>
      <c r="K39" s="155"/>
      <c r="L39" s="155"/>
      <c r="M39" s="155"/>
      <c r="N39" s="155"/>
      <c r="O39" s="155"/>
      <c r="P39" s="155"/>
      <c r="Q39" s="155"/>
    </row>
    <row r="40" spans="1:17" x14ac:dyDescent="0.2">
      <c r="A40" s="664"/>
      <c r="B40" s="665"/>
      <c r="C40" s="70"/>
      <c r="D40" s="65"/>
      <c r="E40" s="64">
        <f t="shared" si="0"/>
        <v>0</v>
      </c>
      <c r="F40" s="64">
        <f t="shared" si="1"/>
        <v>6.0110119047619008</v>
      </c>
      <c r="G40" s="155"/>
      <c r="H40" s="155"/>
      <c r="I40" s="155"/>
      <c r="J40" s="155"/>
      <c r="K40" s="155"/>
      <c r="L40" s="155"/>
      <c r="M40" s="155"/>
      <c r="N40" s="155"/>
      <c r="O40" s="155"/>
      <c r="P40" s="155"/>
      <c r="Q40" s="155"/>
    </row>
    <row r="41" spans="1:17" x14ac:dyDescent="0.2">
      <c r="A41" s="666"/>
      <c r="B41" s="667"/>
      <c r="C41" s="70"/>
      <c r="D41" s="66"/>
      <c r="E41" s="64">
        <f t="shared" si="0"/>
        <v>0</v>
      </c>
      <c r="F41" s="64">
        <f t="shared" si="1"/>
        <v>6.0110119047619008</v>
      </c>
      <c r="G41" s="155"/>
      <c r="H41" s="155"/>
      <c r="I41" s="155"/>
      <c r="J41" s="155"/>
      <c r="K41" s="155"/>
      <c r="L41" s="155"/>
      <c r="M41" s="155"/>
      <c r="N41" s="155"/>
      <c r="O41" s="155"/>
      <c r="P41" s="155"/>
      <c r="Q41" s="155"/>
    </row>
    <row r="42" spans="1:17" x14ac:dyDescent="0.2">
      <c r="A42" s="664"/>
      <c r="B42" s="665"/>
      <c r="C42" s="70"/>
      <c r="D42" s="65"/>
      <c r="E42" s="64">
        <f t="shared" si="0"/>
        <v>0</v>
      </c>
      <c r="F42" s="64">
        <f t="shared" si="1"/>
        <v>6.0110119047619008</v>
      </c>
      <c r="G42" s="155"/>
      <c r="H42" s="155"/>
      <c r="I42" s="155"/>
      <c r="J42" s="155"/>
      <c r="K42" s="155"/>
      <c r="L42" s="155"/>
      <c r="M42" s="155"/>
      <c r="N42" s="155"/>
      <c r="O42" s="155"/>
      <c r="P42" s="155"/>
      <c r="Q42" s="155"/>
    </row>
    <row r="43" spans="1:17" x14ac:dyDescent="0.2">
      <c r="A43" s="664"/>
      <c r="B43" s="665"/>
      <c r="C43" s="70"/>
      <c r="D43" s="65"/>
      <c r="E43" s="64">
        <f t="shared" si="0"/>
        <v>0</v>
      </c>
      <c r="F43" s="64">
        <f t="shared" si="1"/>
        <v>6.0110119047619008</v>
      </c>
      <c r="G43" s="155"/>
      <c r="H43" s="155"/>
      <c r="I43" s="155"/>
      <c r="J43" s="155"/>
      <c r="K43" s="155"/>
      <c r="L43" s="155"/>
      <c r="M43" s="155"/>
      <c r="N43" s="155"/>
      <c r="O43" s="155"/>
      <c r="P43" s="155"/>
      <c r="Q43" s="155"/>
    </row>
    <row r="44" spans="1:17" x14ac:dyDescent="0.2">
      <c r="A44" s="664"/>
      <c r="B44" s="665"/>
      <c r="C44" s="70"/>
      <c r="D44" s="65"/>
      <c r="E44" s="64">
        <f t="shared" si="0"/>
        <v>0</v>
      </c>
      <c r="F44" s="64">
        <f t="shared" si="1"/>
        <v>6.0110119047619008</v>
      </c>
      <c r="G44" s="155"/>
      <c r="H44" s="155"/>
      <c r="I44" s="155"/>
      <c r="J44" s="155"/>
      <c r="K44" s="155"/>
      <c r="L44" s="155"/>
      <c r="M44" s="155"/>
      <c r="N44" s="155"/>
      <c r="O44" s="155"/>
      <c r="P44" s="155"/>
      <c r="Q44" s="155"/>
    </row>
    <row r="45" spans="1:17" x14ac:dyDescent="0.2">
      <c r="A45" s="664"/>
      <c r="B45" s="665"/>
      <c r="C45" s="70"/>
      <c r="D45" s="65"/>
      <c r="E45" s="64">
        <f t="shared" si="0"/>
        <v>0</v>
      </c>
      <c r="F45" s="64">
        <f t="shared" si="1"/>
        <v>6.0110119047619008</v>
      </c>
      <c r="G45" s="155"/>
      <c r="H45" s="155"/>
      <c r="I45" s="155"/>
      <c r="J45" s="155"/>
      <c r="K45" s="155"/>
      <c r="L45" s="155"/>
      <c r="M45" s="155"/>
      <c r="N45" s="155"/>
      <c r="O45" s="155"/>
      <c r="P45" s="155"/>
      <c r="Q45" s="155"/>
    </row>
    <row r="46" spans="1:17" x14ac:dyDescent="0.2">
      <c r="A46" s="664"/>
      <c r="B46" s="665"/>
      <c r="C46" s="70"/>
      <c r="D46" s="65"/>
      <c r="E46" s="64">
        <f t="shared" si="0"/>
        <v>0</v>
      </c>
      <c r="F46" s="64">
        <f t="shared" si="1"/>
        <v>6.0110119047619008</v>
      </c>
      <c r="G46" s="155"/>
      <c r="H46" s="155"/>
      <c r="I46" s="155"/>
      <c r="J46" s="155"/>
      <c r="K46" s="155"/>
      <c r="L46" s="155"/>
      <c r="M46" s="155"/>
      <c r="N46" s="155"/>
      <c r="O46" s="155"/>
      <c r="P46" s="155"/>
      <c r="Q46" s="155"/>
    </row>
    <row r="47" spans="1:17" x14ac:dyDescent="0.2">
      <c r="A47" s="664"/>
      <c r="B47" s="665"/>
      <c r="C47" s="70"/>
      <c r="D47" s="71"/>
      <c r="E47" s="64">
        <f t="shared" si="0"/>
        <v>0</v>
      </c>
      <c r="F47" s="64">
        <f t="shared" si="1"/>
        <v>6.0110119047619008</v>
      </c>
      <c r="G47" s="155"/>
      <c r="H47" s="155"/>
      <c r="I47" s="155"/>
      <c r="J47" s="155"/>
      <c r="K47" s="155"/>
      <c r="L47" s="155"/>
      <c r="M47" s="155"/>
      <c r="N47" s="155"/>
      <c r="O47" s="155"/>
      <c r="P47" s="155"/>
      <c r="Q47" s="155"/>
    </row>
    <row r="48" spans="1:17" x14ac:dyDescent="0.2">
      <c r="A48" s="664"/>
      <c r="B48" s="665"/>
      <c r="C48" s="70"/>
      <c r="D48" s="65"/>
      <c r="E48" s="64">
        <f t="shared" si="0"/>
        <v>0</v>
      </c>
      <c r="F48" s="64">
        <f>F47+E48</f>
        <v>6.0110119047619008</v>
      </c>
      <c r="G48" s="155"/>
      <c r="H48" s="155"/>
      <c r="I48" s="155"/>
      <c r="J48" s="155"/>
      <c r="K48" s="155"/>
      <c r="L48" s="155"/>
      <c r="M48" s="155"/>
      <c r="N48" s="155"/>
      <c r="O48" s="155"/>
      <c r="P48" s="155"/>
      <c r="Q48" s="155"/>
    </row>
    <row r="49" spans="1:17" ht="18.75" customHeight="1" x14ac:dyDescent="0.2">
      <c r="A49" s="172" t="s">
        <v>132</v>
      </c>
      <c r="B49" s="172"/>
      <c r="C49" s="62">
        <f>SUM(C3:C48)</f>
        <v>38.208333333333336</v>
      </c>
      <c r="D49" s="62">
        <f>SUM(D3:D48)</f>
        <v>44.219345238095237</v>
      </c>
      <c r="E49" s="63"/>
      <c r="F49" s="652">
        <f>F48</f>
        <v>6.0110119047619008</v>
      </c>
      <c r="G49" s="155"/>
      <c r="H49" s="155"/>
      <c r="I49" s="155"/>
      <c r="J49" s="155"/>
      <c r="K49" s="155"/>
      <c r="L49" s="155"/>
      <c r="M49" s="155"/>
      <c r="N49" s="155"/>
      <c r="O49" s="155"/>
      <c r="P49" s="155"/>
      <c r="Q49" s="155"/>
    </row>
    <row r="50" spans="1:17" ht="18" customHeight="1" x14ac:dyDescent="0.2">
      <c r="A50" s="654" t="s">
        <v>134</v>
      </c>
      <c r="B50" s="654"/>
      <c r="C50" s="654"/>
      <c r="D50" s="654"/>
      <c r="E50" s="654"/>
      <c r="F50" s="653"/>
      <c r="G50" s="155"/>
      <c r="H50" s="155"/>
      <c r="I50" s="155"/>
      <c r="J50" s="155"/>
      <c r="K50" s="155"/>
      <c r="L50" s="155"/>
      <c r="M50" s="155"/>
      <c r="N50" s="155"/>
      <c r="O50" s="155"/>
      <c r="P50" s="155"/>
      <c r="Q50" s="155"/>
    </row>
    <row r="51" spans="1:17" x14ac:dyDescent="0.2">
      <c r="A51" s="225"/>
      <c r="B51" s="225"/>
      <c r="C51" s="226"/>
      <c r="D51" s="226"/>
      <c r="E51" s="155"/>
      <c r="F51" s="155"/>
      <c r="G51" s="155"/>
      <c r="H51" s="155"/>
      <c r="I51" s="155"/>
      <c r="J51" s="155"/>
      <c r="K51" s="155"/>
      <c r="L51" s="155"/>
      <c r="M51" s="155"/>
      <c r="N51" s="155"/>
      <c r="O51" s="155"/>
      <c r="P51" s="155"/>
      <c r="Q51" s="155"/>
    </row>
    <row r="52" spans="1:17" hidden="1" x14ac:dyDescent="0.2">
      <c r="A52" s="225"/>
      <c r="B52" s="225"/>
      <c r="C52" s="226"/>
      <c r="D52" s="226"/>
      <c r="E52" s="155"/>
      <c r="F52" s="155"/>
      <c r="G52" s="155"/>
      <c r="H52" s="155"/>
      <c r="I52" s="155"/>
      <c r="J52" s="155"/>
      <c r="K52" s="155"/>
      <c r="L52" s="155"/>
      <c r="M52" s="155"/>
      <c r="N52" s="155"/>
      <c r="O52" s="155"/>
      <c r="P52" s="155"/>
      <c r="Q52" s="155"/>
    </row>
    <row r="53" spans="1:17" hidden="1" x14ac:dyDescent="0.2">
      <c r="A53" s="225"/>
      <c r="B53" s="225"/>
      <c r="C53" s="226"/>
      <c r="D53" s="226"/>
      <c r="E53" s="155"/>
      <c r="F53" s="155"/>
      <c r="G53" s="155"/>
      <c r="H53" s="155"/>
      <c r="I53" s="155"/>
      <c r="J53" s="155"/>
      <c r="K53" s="155"/>
      <c r="L53" s="155"/>
      <c r="M53" s="155"/>
      <c r="N53" s="155"/>
      <c r="O53" s="155"/>
      <c r="P53" s="155"/>
      <c r="Q53" s="155"/>
    </row>
    <row r="54" spans="1:17" hidden="1" x14ac:dyDescent="0.2">
      <c r="A54" s="225"/>
      <c r="B54" s="225"/>
      <c r="C54" s="226"/>
      <c r="D54" s="226"/>
      <c r="E54" s="155"/>
      <c r="F54" s="155"/>
      <c r="G54" s="155"/>
      <c r="H54" s="155"/>
      <c r="I54" s="155"/>
      <c r="J54" s="155"/>
      <c r="K54" s="155"/>
      <c r="L54" s="155"/>
      <c r="M54" s="155"/>
      <c r="N54" s="155"/>
      <c r="O54" s="155"/>
      <c r="P54" s="155"/>
      <c r="Q54" s="155"/>
    </row>
    <row r="55" spans="1:17" hidden="1" x14ac:dyDescent="0.2">
      <c r="A55" s="225"/>
      <c r="B55" s="225"/>
      <c r="C55" s="226"/>
      <c r="D55" s="226"/>
      <c r="E55" s="155"/>
      <c r="F55" s="155"/>
      <c r="G55" s="155"/>
      <c r="H55" s="155"/>
      <c r="I55" s="155"/>
      <c r="J55" s="155"/>
      <c r="K55" s="155"/>
      <c r="L55" s="155"/>
      <c r="M55" s="155"/>
      <c r="N55" s="155"/>
      <c r="O55" s="155"/>
      <c r="P55" s="155"/>
      <c r="Q55" s="155"/>
    </row>
    <row r="56" spans="1:17" hidden="1" x14ac:dyDescent="0.2">
      <c r="A56" s="225"/>
      <c r="B56" s="225"/>
      <c r="C56" s="226"/>
      <c r="D56" s="226"/>
      <c r="E56" s="155"/>
      <c r="F56" s="155"/>
      <c r="G56" s="155"/>
      <c r="H56" s="155"/>
      <c r="I56" s="155"/>
      <c r="J56" s="155"/>
      <c r="K56" s="155"/>
      <c r="L56" s="155"/>
      <c r="M56" s="155"/>
      <c r="N56" s="155"/>
      <c r="O56" s="155"/>
      <c r="P56" s="155"/>
      <c r="Q56" s="155"/>
    </row>
    <row r="57" spans="1:17" hidden="1" x14ac:dyDescent="0.2">
      <c r="A57" s="225"/>
      <c r="B57" s="225"/>
      <c r="C57" s="226"/>
      <c r="D57" s="226"/>
      <c r="E57" s="155"/>
      <c r="F57" s="155"/>
      <c r="G57" s="155"/>
      <c r="H57" s="155"/>
      <c r="I57" s="155"/>
      <c r="J57" s="155"/>
      <c r="K57" s="155"/>
      <c r="L57" s="155"/>
      <c r="M57" s="155"/>
      <c r="N57" s="155"/>
      <c r="O57" s="155"/>
      <c r="P57" s="155"/>
      <c r="Q57" s="155"/>
    </row>
    <row r="58" spans="1:17" hidden="1" x14ac:dyDescent="0.2">
      <c r="A58" s="225"/>
      <c r="B58" s="225"/>
      <c r="C58" s="226"/>
      <c r="D58" s="226"/>
      <c r="E58" s="155"/>
      <c r="F58" s="155"/>
      <c r="G58" s="155"/>
      <c r="H58" s="155"/>
      <c r="I58" s="155"/>
      <c r="J58" s="155"/>
      <c r="K58" s="155"/>
      <c r="L58" s="155"/>
      <c r="M58" s="155"/>
      <c r="N58" s="155"/>
      <c r="O58" s="155"/>
      <c r="P58" s="155"/>
      <c r="Q58" s="155"/>
    </row>
    <row r="59" spans="1:17" hidden="1" x14ac:dyDescent="0.2">
      <c r="A59" s="225"/>
      <c r="B59" s="225"/>
      <c r="C59" s="226"/>
      <c r="D59" s="226"/>
      <c r="E59" s="155"/>
      <c r="F59" s="155"/>
      <c r="G59" s="155"/>
      <c r="H59" s="155"/>
      <c r="I59" s="155"/>
      <c r="J59" s="155"/>
      <c r="K59" s="155"/>
      <c r="L59" s="155"/>
      <c r="M59" s="155"/>
      <c r="N59" s="155"/>
      <c r="O59" s="155"/>
      <c r="P59" s="155"/>
      <c r="Q59" s="155"/>
    </row>
    <row r="60" spans="1:17" hidden="1" x14ac:dyDescent="0.2">
      <c r="A60" s="225"/>
      <c r="B60" s="225"/>
      <c r="C60" s="226"/>
      <c r="D60" s="226"/>
      <c r="E60" s="155"/>
      <c r="F60" s="155"/>
      <c r="G60" s="155"/>
      <c r="H60" s="155"/>
      <c r="I60" s="155"/>
      <c r="J60" s="155"/>
      <c r="K60" s="155"/>
      <c r="L60" s="155"/>
      <c r="M60" s="155"/>
      <c r="N60" s="155"/>
      <c r="O60" s="155"/>
      <c r="P60" s="155"/>
      <c r="Q60" s="155"/>
    </row>
    <row r="61" spans="1:17" hidden="1" x14ac:dyDescent="0.2">
      <c r="A61" s="225"/>
      <c r="B61" s="225"/>
      <c r="C61" s="226"/>
      <c r="D61" s="226"/>
      <c r="E61" s="155"/>
      <c r="F61" s="155"/>
      <c r="G61" s="155"/>
      <c r="H61" s="155"/>
      <c r="I61" s="155"/>
      <c r="J61" s="155"/>
      <c r="K61" s="155"/>
      <c r="L61" s="155"/>
      <c r="M61" s="155"/>
      <c r="N61" s="155"/>
      <c r="O61" s="155"/>
      <c r="P61" s="155"/>
      <c r="Q61" s="155"/>
    </row>
    <row r="62" spans="1:17" hidden="1" x14ac:dyDescent="0.2">
      <c r="A62" s="225"/>
      <c r="B62" s="225"/>
      <c r="C62" s="226"/>
      <c r="D62" s="226"/>
      <c r="E62" s="155"/>
      <c r="F62" s="155"/>
      <c r="G62" s="155"/>
      <c r="H62" s="155"/>
      <c r="I62" s="155"/>
      <c r="J62" s="155"/>
      <c r="K62" s="155"/>
      <c r="L62" s="155"/>
      <c r="M62" s="155"/>
      <c r="N62" s="155"/>
      <c r="O62" s="155"/>
      <c r="P62" s="155"/>
      <c r="Q62" s="155"/>
    </row>
    <row r="63" spans="1:17" hidden="1" x14ac:dyDescent="0.2">
      <c r="A63" s="225"/>
      <c r="B63" s="225"/>
      <c r="C63" s="226"/>
      <c r="D63" s="226"/>
      <c r="E63" s="155"/>
      <c r="F63" s="155"/>
      <c r="G63" s="155"/>
      <c r="H63" s="155"/>
      <c r="I63" s="155"/>
      <c r="J63" s="155"/>
      <c r="K63" s="155"/>
      <c r="L63" s="155"/>
      <c r="M63" s="155"/>
      <c r="N63" s="155"/>
      <c r="O63" s="155"/>
      <c r="P63" s="155"/>
      <c r="Q63" s="155"/>
    </row>
    <row r="64" spans="1:17" hidden="1" x14ac:dyDescent="0.2">
      <c r="A64" s="225"/>
      <c r="B64" s="225"/>
      <c r="C64" s="226"/>
      <c r="D64" s="226"/>
      <c r="E64" s="155"/>
      <c r="F64" s="155"/>
      <c r="G64" s="155"/>
      <c r="H64" s="155"/>
      <c r="I64" s="155"/>
      <c r="J64" s="155"/>
      <c r="K64" s="155"/>
      <c r="L64" s="155"/>
      <c r="M64" s="155"/>
      <c r="N64" s="155"/>
      <c r="O64" s="155"/>
      <c r="P64" s="155"/>
      <c r="Q64" s="155"/>
    </row>
    <row r="65" spans="1:17" hidden="1" x14ac:dyDescent="0.2">
      <c r="A65" s="225"/>
      <c r="B65" s="225"/>
      <c r="C65" s="226"/>
      <c r="D65" s="226"/>
      <c r="E65" s="155"/>
      <c r="F65" s="155"/>
      <c r="G65" s="155"/>
      <c r="H65" s="155"/>
      <c r="I65" s="155"/>
      <c r="J65" s="155"/>
      <c r="K65" s="155"/>
      <c r="L65" s="155"/>
      <c r="M65" s="155"/>
      <c r="N65" s="155"/>
      <c r="O65" s="155"/>
      <c r="P65" s="155"/>
      <c r="Q65" s="155"/>
    </row>
    <row r="66" spans="1:17" hidden="1" x14ac:dyDescent="0.2">
      <c r="A66" s="225"/>
      <c r="B66" s="225"/>
      <c r="C66" s="226"/>
      <c r="D66" s="226"/>
      <c r="E66" s="155"/>
      <c r="F66" s="155"/>
      <c r="G66" s="155"/>
      <c r="H66" s="155"/>
      <c r="I66" s="155"/>
      <c r="J66" s="155"/>
      <c r="K66" s="155"/>
      <c r="L66" s="155"/>
      <c r="M66" s="155"/>
      <c r="N66" s="155"/>
      <c r="O66" s="155"/>
      <c r="P66" s="155"/>
      <c r="Q66" s="155"/>
    </row>
    <row r="67" spans="1:17" hidden="1" x14ac:dyDescent="0.2">
      <c r="A67" s="225"/>
      <c r="B67" s="225"/>
      <c r="C67" s="226"/>
      <c r="D67" s="226"/>
      <c r="E67" s="155"/>
      <c r="F67" s="155"/>
      <c r="G67" s="155"/>
      <c r="H67" s="155"/>
      <c r="I67" s="155"/>
      <c r="J67" s="155"/>
      <c r="K67" s="155"/>
      <c r="L67" s="155"/>
      <c r="M67" s="155"/>
      <c r="N67" s="155"/>
      <c r="O67" s="155"/>
      <c r="P67" s="155"/>
      <c r="Q67" s="155"/>
    </row>
    <row r="68" spans="1:17" hidden="1" x14ac:dyDescent="0.2">
      <c r="A68" s="225"/>
      <c r="B68" s="225"/>
      <c r="C68" s="226"/>
      <c r="D68" s="226"/>
      <c r="E68" s="155"/>
      <c r="F68" s="155"/>
      <c r="G68" s="155"/>
      <c r="H68" s="155"/>
      <c r="I68" s="155"/>
      <c r="J68" s="155"/>
      <c r="K68" s="155"/>
      <c r="L68" s="155"/>
      <c r="M68" s="155"/>
      <c r="N68" s="155"/>
      <c r="O68" s="155"/>
      <c r="P68" s="155"/>
      <c r="Q68" s="155"/>
    </row>
    <row r="69" spans="1:17" hidden="1" x14ac:dyDescent="0.2">
      <c r="A69" s="225"/>
      <c r="B69" s="225"/>
      <c r="C69" s="226"/>
      <c r="D69" s="226"/>
      <c r="E69" s="155"/>
      <c r="F69" s="155"/>
      <c r="G69" s="155"/>
      <c r="H69" s="155"/>
      <c r="I69" s="155"/>
      <c r="J69" s="155"/>
      <c r="K69" s="155"/>
      <c r="L69" s="155"/>
      <c r="M69" s="155"/>
      <c r="N69" s="155"/>
      <c r="O69" s="155"/>
      <c r="P69" s="155"/>
      <c r="Q69" s="155"/>
    </row>
    <row r="70" spans="1:17" hidden="1" x14ac:dyDescent="0.2">
      <c r="A70" s="225"/>
      <c r="B70" s="225"/>
      <c r="C70" s="226"/>
      <c r="D70" s="226"/>
      <c r="E70" s="155"/>
      <c r="F70" s="155"/>
      <c r="G70" s="155"/>
      <c r="H70" s="155"/>
      <c r="I70" s="155"/>
      <c r="J70" s="155"/>
      <c r="K70" s="155"/>
      <c r="L70" s="155"/>
      <c r="M70" s="155"/>
      <c r="N70" s="155"/>
      <c r="O70" s="155"/>
      <c r="P70" s="155"/>
      <c r="Q70" s="155"/>
    </row>
    <row r="71" spans="1:17" hidden="1" x14ac:dyDescent="0.2">
      <c r="A71" s="225"/>
      <c r="B71" s="225"/>
      <c r="C71" s="226"/>
      <c r="D71" s="226"/>
      <c r="E71" s="155"/>
      <c r="F71" s="155"/>
      <c r="G71" s="155"/>
      <c r="H71" s="155"/>
      <c r="I71" s="155"/>
      <c r="J71" s="155"/>
      <c r="K71" s="155"/>
      <c r="L71" s="155"/>
      <c r="M71" s="155"/>
      <c r="N71" s="155"/>
      <c r="O71" s="155"/>
      <c r="P71" s="155"/>
      <c r="Q71" s="155"/>
    </row>
    <row r="72" spans="1:17" hidden="1" x14ac:dyDescent="0.2">
      <c r="A72" s="225"/>
      <c r="B72" s="225"/>
      <c r="C72" s="226"/>
      <c r="D72" s="226"/>
      <c r="E72" s="155"/>
      <c r="F72" s="155"/>
      <c r="G72" s="155"/>
      <c r="H72" s="155"/>
      <c r="I72" s="155"/>
      <c r="J72" s="155"/>
      <c r="K72" s="155"/>
      <c r="L72" s="155"/>
      <c r="M72" s="155"/>
      <c r="N72" s="155"/>
      <c r="O72" s="155"/>
      <c r="P72" s="155"/>
      <c r="Q72" s="155"/>
    </row>
    <row r="73" spans="1:17" hidden="1" x14ac:dyDescent="0.2">
      <c r="A73" s="225"/>
      <c r="B73" s="225"/>
      <c r="C73" s="226"/>
      <c r="D73" s="226"/>
      <c r="E73" s="155"/>
      <c r="F73" s="155"/>
      <c r="G73" s="155"/>
      <c r="H73" s="155"/>
      <c r="I73" s="155"/>
      <c r="J73" s="155"/>
      <c r="K73" s="155"/>
      <c r="L73" s="155"/>
      <c r="M73" s="155"/>
      <c r="N73" s="155"/>
      <c r="O73" s="155"/>
      <c r="P73" s="155"/>
      <c r="Q73" s="155"/>
    </row>
    <row r="74" spans="1:17" hidden="1" x14ac:dyDescent="0.2">
      <c r="A74" s="225"/>
      <c r="B74" s="225"/>
      <c r="C74" s="226"/>
      <c r="D74" s="226"/>
      <c r="E74" s="155"/>
      <c r="F74" s="155"/>
      <c r="G74" s="155"/>
      <c r="H74" s="155"/>
      <c r="I74" s="155"/>
      <c r="J74" s="155"/>
      <c r="K74" s="155"/>
      <c r="L74" s="155"/>
      <c r="M74" s="155"/>
      <c r="N74" s="155"/>
      <c r="O74" s="155"/>
      <c r="P74" s="155"/>
      <c r="Q74" s="155"/>
    </row>
    <row r="75" spans="1:17" hidden="1" x14ac:dyDescent="0.2">
      <c r="A75" s="225"/>
      <c r="B75" s="225"/>
      <c r="C75" s="226"/>
      <c r="D75" s="226"/>
      <c r="E75" s="155"/>
      <c r="F75" s="155"/>
      <c r="G75" s="155"/>
      <c r="H75" s="155"/>
      <c r="I75" s="155"/>
      <c r="J75" s="155"/>
      <c r="K75" s="155"/>
      <c r="L75" s="155"/>
      <c r="M75" s="155"/>
      <c r="N75" s="155"/>
      <c r="O75" s="155"/>
      <c r="P75" s="155"/>
      <c r="Q75" s="155"/>
    </row>
    <row r="76" spans="1:17" hidden="1" x14ac:dyDescent="0.2">
      <c r="A76" s="225"/>
      <c r="B76" s="225"/>
      <c r="C76" s="226"/>
      <c r="D76" s="226"/>
      <c r="E76" s="155"/>
      <c r="F76" s="155"/>
      <c r="G76" s="155"/>
      <c r="H76" s="155"/>
      <c r="I76" s="155"/>
      <c r="J76" s="155"/>
      <c r="K76" s="155"/>
      <c r="L76" s="155"/>
      <c r="M76" s="155"/>
      <c r="N76" s="155"/>
      <c r="O76" s="155"/>
      <c r="P76" s="155"/>
      <c r="Q76" s="155"/>
    </row>
    <row r="77" spans="1:17" hidden="1" x14ac:dyDescent="0.2">
      <c r="A77" s="225"/>
      <c r="B77" s="225"/>
      <c r="C77" s="226"/>
      <c r="D77" s="226"/>
      <c r="E77" s="155"/>
      <c r="F77" s="155"/>
      <c r="G77" s="155"/>
      <c r="H77" s="155"/>
      <c r="I77" s="155"/>
      <c r="J77" s="155"/>
      <c r="K77" s="155"/>
      <c r="L77" s="155"/>
      <c r="M77" s="155"/>
      <c r="N77" s="155"/>
      <c r="O77" s="155"/>
      <c r="P77" s="155"/>
      <c r="Q77" s="155"/>
    </row>
    <row r="78" spans="1:17" hidden="1" x14ac:dyDescent="0.2">
      <c r="A78" s="225"/>
      <c r="B78" s="225"/>
      <c r="C78" s="226"/>
      <c r="D78" s="226"/>
      <c r="E78" s="155"/>
      <c r="F78" s="155"/>
      <c r="G78" s="155"/>
      <c r="H78" s="155"/>
      <c r="I78" s="155"/>
      <c r="J78" s="155"/>
      <c r="K78" s="155"/>
      <c r="L78" s="155"/>
      <c r="M78" s="155"/>
      <c r="N78" s="155"/>
      <c r="O78" s="155"/>
      <c r="P78" s="155"/>
      <c r="Q78" s="155"/>
    </row>
    <row r="79" spans="1:17" hidden="1" x14ac:dyDescent="0.2">
      <c r="A79" s="225"/>
      <c r="B79" s="225"/>
      <c r="C79" s="226"/>
      <c r="D79" s="226"/>
      <c r="E79" s="155"/>
      <c r="F79" s="155"/>
      <c r="G79" s="155"/>
      <c r="H79" s="155"/>
      <c r="I79" s="155"/>
      <c r="J79" s="155"/>
      <c r="K79" s="155"/>
      <c r="L79" s="155"/>
      <c r="M79" s="155"/>
      <c r="N79" s="155"/>
      <c r="O79" s="155"/>
      <c r="P79" s="155"/>
      <c r="Q79" s="155"/>
    </row>
    <row r="80" spans="1:17" hidden="1" x14ac:dyDescent="0.2">
      <c r="A80" s="225"/>
      <c r="B80" s="225"/>
      <c r="C80" s="226"/>
      <c r="D80" s="226"/>
      <c r="E80" s="155"/>
      <c r="F80" s="155"/>
      <c r="G80" s="155"/>
      <c r="H80" s="155"/>
      <c r="I80" s="155"/>
      <c r="J80" s="155"/>
      <c r="K80" s="155"/>
      <c r="L80" s="155"/>
      <c r="M80" s="155"/>
      <c r="N80" s="155"/>
      <c r="O80" s="155"/>
      <c r="P80" s="155"/>
      <c r="Q80" s="155"/>
    </row>
    <row r="81" spans="1:17" hidden="1" x14ac:dyDescent="0.2">
      <c r="A81" s="225"/>
      <c r="B81" s="225"/>
      <c r="C81" s="226"/>
      <c r="D81" s="226"/>
      <c r="E81" s="155"/>
      <c r="F81" s="155"/>
      <c r="G81" s="155"/>
      <c r="H81" s="155"/>
      <c r="I81" s="155"/>
      <c r="J81" s="155"/>
      <c r="K81" s="155"/>
      <c r="L81" s="155"/>
      <c r="M81" s="155"/>
      <c r="N81" s="155"/>
      <c r="O81" s="155"/>
      <c r="P81" s="155"/>
      <c r="Q81" s="155"/>
    </row>
    <row r="82" spans="1:17" hidden="1" x14ac:dyDescent="0.2">
      <c r="A82" s="225"/>
      <c r="B82" s="225"/>
      <c r="C82" s="226"/>
      <c r="D82" s="226"/>
      <c r="E82" s="155"/>
      <c r="F82" s="155"/>
      <c r="G82" s="155"/>
      <c r="H82" s="155"/>
      <c r="I82" s="155"/>
      <c r="J82" s="155"/>
      <c r="K82" s="155"/>
      <c r="L82" s="155"/>
      <c r="M82" s="155"/>
      <c r="N82" s="155"/>
      <c r="O82" s="155"/>
      <c r="P82" s="155"/>
      <c r="Q82" s="155"/>
    </row>
    <row r="83" spans="1:17" hidden="1" x14ac:dyDescent="0.2">
      <c r="A83" s="225"/>
      <c r="B83" s="225"/>
      <c r="C83" s="226"/>
      <c r="D83" s="226"/>
      <c r="E83" s="155"/>
      <c r="F83" s="155"/>
      <c r="G83" s="155"/>
      <c r="H83" s="155"/>
      <c r="I83" s="155"/>
      <c r="J83" s="155"/>
      <c r="K83" s="155"/>
      <c r="L83" s="155"/>
      <c r="M83" s="155"/>
      <c r="N83" s="155"/>
      <c r="O83" s="155"/>
      <c r="P83" s="155"/>
      <c r="Q83" s="155"/>
    </row>
  </sheetData>
  <sheetProtection password="CC01" sheet="1" objects="1" scenarios="1"/>
  <protectedRanges>
    <protectedRange sqref="A3:D4" name="Range1"/>
  </protectedRanges>
  <mergeCells count="50">
    <mergeCell ref="A29:B29"/>
    <mergeCell ref="A30:B30"/>
    <mergeCell ref="A31:B31"/>
    <mergeCell ref="A32:B32"/>
    <mergeCell ref="A24:B24"/>
    <mergeCell ref="A25:B25"/>
    <mergeCell ref="A26:B26"/>
    <mergeCell ref="A27:B27"/>
    <mergeCell ref="A28:B28"/>
    <mergeCell ref="A19:B19"/>
    <mergeCell ref="A20:B20"/>
    <mergeCell ref="A21:B21"/>
    <mergeCell ref="A22:B22"/>
    <mergeCell ref="A23:B23"/>
    <mergeCell ref="A14:B14"/>
    <mergeCell ref="A15:B15"/>
    <mergeCell ref="A16:B16"/>
    <mergeCell ref="A17:B17"/>
    <mergeCell ref="A18:B18"/>
    <mergeCell ref="A9:B9"/>
    <mergeCell ref="A10:B10"/>
    <mergeCell ref="A11:B11"/>
    <mergeCell ref="A12:B12"/>
    <mergeCell ref="A13:B13"/>
    <mergeCell ref="A37:B37"/>
    <mergeCell ref="A36:B36"/>
    <mergeCell ref="A35:B35"/>
    <mergeCell ref="A34:B34"/>
    <mergeCell ref="A33:B33"/>
    <mergeCell ref="A42:B42"/>
    <mergeCell ref="A41:B41"/>
    <mergeCell ref="A40:B40"/>
    <mergeCell ref="A39:B39"/>
    <mergeCell ref="A38:B38"/>
    <mergeCell ref="F49:F50"/>
    <mergeCell ref="A50:E50"/>
    <mergeCell ref="A1:F1"/>
    <mergeCell ref="A3:B3"/>
    <mergeCell ref="A2:B2"/>
    <mergeCell ref="A4:B4"/>
    <mergeCell ref="A5:B5"/>
    <mergeCell ref="A6:B6"/>
    <mergeCell ref="A7:B7"/>
    <mergeCell ref="A8:B8"/>
    <mergeCell ref="A48:B48"/>
    <mergeCell ref="A47:B47"/>
    <mergeCell ref="A46:B46"/>
    <mergeCell ref="A45:B45"/>
    <mergeCell ref="A44:B44"/>
    <mergeCell ref="A43:B43"/>
  </mergeCells>
  <phoneticPr fontId="0" type="noConversion"/>
  <pageMargins left="0.7" right="0.7" top="0.75" bottom="0.75" header="0.3" footer="0.3"/>
  <pageSetup scale="85" orientation="portrait" r:id="rId1"/>
  <headerFooter>
    <oddFooter>&amp;CVersion 2.1, September 2015</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L216"/>
  <sheetViews>
    <sheetView showGridLines="0" view="pageLayout" zoomScale="75" zoomScaleNormal="90" zoomScalePageLayoutView="75" workbookViewId="0">
      <selection activeCell="B1" sqref="B1:F1"/>
    </sheetView>
  </sheetViews>
  <sheetFormatPr defaultColWidth="0" defaultRowHeight="12.75" zeroHeight="1" x14ac:dyDescent="0.2"/>
  <cols>
    <col min="1" max="1" width="34.7109375" customWidth="1"/>
    <col min="2" max="2" width="6.5703125" customWidth="1"/>
    <col min="3" max="3" width="8.7109375" customWidth="1"/>
    <col min="4" max="4" width="10.5703125" bestFit="1" customWidth="1"/>
    <col min="5" max="5" width="6.5703125" customWidth="1"/>
    <col min="6" max="6" width="34.7109375" customWidth="1"/>
    <col min="7" max="8" width="6" bestFit="1" customWidth="1"/>
    <col min="9" max="9" width="10.5703125" bestFit="1" customWidth="1"/>
    <col min="10" max="10" width="2" customWidth="1"/>
    <col min="11" max="11" width="4.85546875" customWidth="1"/>
    <col min="12" max="12" width="35" customWidth="1"/>
    <col min="13" max="13" width="5.7109375" customWidth="1"/>
    <col min="14" max="14" width="6" bestFit="1" customWidth="1"/>
    <col min="15" max="15" width="11.28515625" customWidth="1"/>
    <col min="16" max="16" width="3.7109375" customWidth="1"/>
    <col min="17" max="38" width="0" hidden="1" customWidth="1"/>
    <col min="39" max="16384" width="9.140625" hidden="1"/>
  </cols>
  <sheetData>
    <row r="1" spans="1:38" ht="25.5" customHeight="1" x14ac:dyDescent="0.2">
      <c r="A1" s="372" t="s">
        <v>94</v>
      </c>
      <c r="B1" s="707" t="s">
        <v>97</v>
      </c>
      <c r="C1" s="708"/>
      <c r="D1" s="708"/>
      <c r="E1" s="708"/>
      <c r="F1" s="709"/>
      <c r="G1" s="530" t="s">
        <v>91</v>
      </c>
      <c r="H1" s="531"/>
      <c r="I1" s="531"/>
      <c r="J1" s="531"/>
      <c r="K1" s="83" t="s">
        <v>92</v>
      </c>
      <c r="L1" s="386">
        <v>897355</v>
      </c>
      <c r="M1" s="83" t="s">
        <v>93</v>
      </c>
      <c r="N1" s="710">
        <v>45689</v>
      </c>
      <c r="O1" s="711"/>
      <c r="P1" s="55"/>
      <c r="Q1" s="55"/>
      <c r="R1" s="55"/>
      <c r="S1" s="55"/>
      <c r="T1" s="40"/>
      <c r="U1" s="106"/>
      <c r="V1" s="106"/>
      <c r="W1" s="106"/>
      <c r="X1" s="106"/>
      <c r="Y1" s="106"/>
      <c r="Z1" s="106"/>
      <c r="AA1" s="106"/>
      <c r="AB1" s="106"/>
      <c r="AC1" s="106"/>
      <c r="AD1" s="106"/>
      <c r="AE1" s="106"/>
      <c r="AF1" s="106"/>
      <c r="AG1" s="106"/>
      <c r="AH1" s="106"/>
      <c r="AI1" s="106"/>
      <c r="AJ1" s="103"/>
      <c r="AK1" s="103"/>
      <c r="AL1" s="103"/>
    </row>
    <row r="2" spans="1:38" ht="32.25" customHeight="1" x14ac:dyDescent="0.2">
      <c r="A2" s="713" t="s">
        <v>95</v>
      </c>
      <c r="B2" s="714"/>
      <c r="C2" s="714"/>
      <c r="D2" s="714"/>
      <c r="E2" s="714"/>
      <c r="F2" s="714"/>
      <c r="G2" s="675" t="s">
        <v>372</v>
      </c>
      <c r="H2" s="675"/>
      <c r="I2" s="675"/>
      <c r="J2" s="675"/>
      <c r="K2" s="675"/>
      <c r="L2" s="675"/>
      <c r="M2" s="675"/>
      <c r="N2" s="675"/>
      <c r="O2" s="675"/>
      <c r="P2" s="55"/>
      <c r="Q2" s="55"/>
      <c r="R2" s="55"/>
      <c r="S2" s="55"/>
      <c r="T2" s="40"/>
      <c r="U2" s="106"/>
      <c r="V2" s="106"/>
      <c r="W2" s="106"/>
      <c r="X2" s="106"/>
      <c r="Y2" s="106"/>
      <c r="Z2" s="106"/>
      <c r="AA2" s="106"/>
      <c r="AB2" s="106"/>
      <c r="AC2" s="106"/>
      <c r="AD2" s="106"/>
      <c r="AE2" s="106"/>
      <c r="AF2" s="106"/>
      <c r="AG2" s="106"/>
      <c r="AH2" s="106"/>
      <c r="AI2" s="106"/>
      <c r="AJ2" s="103"/>
      <c r="AK2" s="103"/>
      <c r="AL2" s="103"/>
    </row>
    <row r="3" spans="1:38" ht="30.75" customHeight="1" x14ac:dyDescent="0.2">
      <c r="A3" s="370" t="s">
        <v>51</v>
      </c>
      <c r="B3" s="675" t="s">
        <v>88</v>
      </c>
      <c r="C3" s="675"/>
      <c r="D3" s="675"/>
      <c r="E3" s="675"/>
      <c r="F3" s="675"/>
      <c r="G3" s="675"/>
      <c r="H3" s="675"/>
      <c r="I3" s="675"/>
      <c r="J3" s="675"/>
      <c r="K3" s="675"/>
      <c r="L3" s="675"/>
      <c r="M3" s="675"/>
      <c r="N3" s="675"/>
      <c r="O3" s="675"/>
      <c r="P3" s="55"/>
      <c r="Q3" s="55"/>
      <c r="R3" s="55"/>
      <c r="S3" s="55"/>
      <c r="T3" s="40"/>
      <c r="U3" s="40"/>
      <c r="V3" s="40"/>
      <c r="W3" s="40"/>
      <c r="X3" s="40"/>
      <c r="Y3" s="40"/>
      <c r="Z3" s="40"/>
      <c r="AA3" s="40"/>
      <c r="AB3" s="40"/>
      <c r="AC3" s="40"/>
      <c r="AD3" s="40"/>
      <c r="AE3" s="40"/>
      <c r="AF3" s="40"/>
      <c r="AG3" s="106"/>
      <c r="AH3" s="106"/>
      <c r="AI3" s="106"/>
      <c r="AJ3" s="103"/>
      <c r="AK3" s="103"/>
      <c r="AL3" s="103"/>
    </row>
    <row r="4" spans="1:38" ht="26.25" customHeight="1" thickBot="1" x14ac:dyDescent="0.25">
      <c r="A4" s="82" t="s">
        <v>60</v>
      </c>
      <c r="B4" s="712" t="s">
        <v>363</v>
      </c>
      <c r="C4" s="712"/>
      <c r="D4" s="712"/>
      <c r="E4" s="712"/>
      <c r="F4" s="81" t="s">
        <v>84</v>
      </c>
      <c r="G4" s="674" t="s">
        <v>85</v>
      </c>
      <c r="H4" s="674"/>
      <c r="I4" s="674"/>
      <c r="J4" s="674"/>
      <c r="K4" s="674"/>
      <c r="L4" s="349" t="s">
        <v>87</v>
      </c>
      <c r="M4" s="674">
        <v>0.02</v>
      </c>
      <c r="N4" s="674"/>
      <c r="O4" s="674"/>
      <c r="P4" s="55"/>
      <c r="Q4" s="55"/>
      <c r="R4" s="55"/>
      <c r="S4" s="55"/>
      <c r="T4" s="40"/>
      <c r="U4" s="40"/>
      <c r="V4" s="40"/>
      <c r="W4" s="40"/>
      <c r="X4" s="40"/>
      <c r="Y4" s="40"/>
      <c r="Z4" s="40"/>
      <c r="AA4" s="40"/>
      <c r="AB4" s="40"/>
      <c r="AC4" s="40"/>
      <c r="AD4" s="40"/>
      <c r="AE4" s="40"/>
      <c r="AF4" s="40"/>
      <c r="AG4" s="106"/>
      <c r="AH4" s="106"/>
      <c r="AI4" s="106"/>
      <c r="AJ4" s="103"/>
      <c r="AK4" s="103"/>
      <c r="AL4" s="103"/>
    </row>
    <row r="5" spans="1:38" ht="20.25" customHeight="1" thickTop="1" x14ac:dyDescent="0.2">
      <c r="A5" s="695" t="s">
        <v>62</v>
      </c>
      <c r="B5" s="696"/>
      <c r="C5" s="696"/>
      <c r="D5" s="696"/>
      <c r="E5" s="696"/>
      <c r="F5" s="697"/>
      <c r="G5" s="152"/>
      <c r="H5" s="152"/>
      <c r="I5" s="152"/>
      <c r="J5" s="55"/>
      <c r="K5" s="55"/>
      <c r="L5" s="55"/>
      <c r="M5" s="55"/>
      <c r="N5" s="55"/>
      <c r="O5" s="55"/>
      <c r="P5" s="55"/>
      <c r="Q5" s="55"/>
      <c r="R5" s="55"/>
      <c r="S5" s="88"/>
      <c r="T5" s="40"/>
      <c r="U5" s="40"/>
      <c r="V5" s="40"/>
      <c r="W5" s="40"/>
      <c r="X5" s="40"/>
      <c r="Y5" s="40"/>
      <c r="Z5" s="40"/>
      <c r="AA5" s="40"/>
      <c r="AB5" s="40"/>
      <c r="AC5" s="40"/>
      <c r="AD5" s="40"/>
      <c r="AE5" s="40"/>
      <c r="AF5" s="40"/>
      <c r="AG5" s="106"/>
      <c r="AH5" s="106"/>
      <c r="AI5" s="106"/>
      <c r="AJ5" s="103"/>
      <c r="AK5" s="103"/>
      <c r="AL5" s="103"/>
    </row>
    <row r="6" spans="1:38" ht="51" x14ac:dyDescent="0.2">
      <c r="A6" s="361" t="s">
        <v>339</v>
      </c>
      <c r="B6" s="698" t="s">
        <v>340</v>
      </c>
      <c r="C6" s="701"/>
      <c r="D6" s="698" t="s">
        <v>342</v>
      </c>
      <c r="E6" s="698"/>
      <c r="F6" s="361" t="s">
        <v>341</v>
      </c>
      <c r="G6" s="377" t="s">
        <v>86</v>
      </c>
      <c r="H6" s="378"/>
      <c r="I6" s="379"/>
      <c r="J6" s="55"/>
      <c r="K6" s="55"/>
      <c r="L6" s="55"/>
      <c r="M6" s="55"/>
      <c r="N6" s="55"/>
      <c r="O6" s="55"/>
      <c r="P6" s="40"/>
      <c r="Q6" s="40"/>
      <c r="R6" s="40"/>
      <c r="S6" s="40"/>
      <c r="T6" s="40"/>
      <c r="U6" s="40"/>
      <c r="V6" s="40"/>
      <c r="W6" s="40"/>
      <c r="X6" s="40"/>
      <c r="Y6" s="40"/>
      <c r="Z6" s="40"/>
      <c r="AA6" s="40"/>
      <c r="AB6" s="40"/>
      <c r="AC6" s="40"/>
      <c r="AD6" s="40"/>
      <c r="AE6" s="40"/>
      <c r="AF6" s="40"/>
      <c r="AG6" s="40"/>
      <c r="AH6" s="40"/>
      <c r="AI6" s="40"/>
      <c r="AJ6" s="80"/>
      <c r="AK6" s="80"/>
      <c r="AL6" s="80"/>
    </row>
    <row r="7" spans="1:38" ht="12.75" customHeight="1" x14ac:dyDescent="0.2">
      <c r="A7" s="387" t="s">
        <v>63</v>
      </c>
      <c r="B7" s="699" t="s">
        <v>66</v>
      </c>
      <c r="C7" s="699"/>
      <c r="D7" s="699">
        <v>0.5</v>
      </c>
      <c r="E7" s="699"/>
      <c r="F7" s="388" t="s">
        <v>66</v>
      </c>
      <c r="G7" s="380">
        <f>IF(M13="y",D7,IF(B3="Mitigation Bank",H7,IF(OR(B7="Open Water",B7="Emergent"),D7*2,IF(B7="Scrub-Shrub",D7*3,IF(B7="Forested",D7*3,0)))))</f>
        <v>1.5</v>
      </c>
      <c r="H7" s="381">
        <f>IF(OR(B7="Open Water",B7="Emergent"),D7,IF(AND(F7="Scrub Shrub",OR(B7="Open Water",B7="Emergent")),D7*2, IF(AND(F7="Forested", B7="Scrub Shrub"),D7*2,IF(AND(B7="Forested", OR(F7="Open Water",F7="Emergent")),D7*3,D7))))</f>
        <v>0.5</v>
      </c>
      <c r="I7" s="381"/>
      <c r="J7" s="55"/>
      <c r="K7" s="55"/>
      <c r="L7" s="55"/>
      <c r="M7" s="55"/>
      <c r="N7" s="55"/>
      <c r="O7" s="55"/>
      <c r="P7" s="84">
        <f>IF(F7="Emergent",G7,0)</f>
        <v>0</v>
      </c>
      <c r="Q7" s="85">
        <f>IF(F7="Scrub-Shrub", G7,0)</f>
        <v>0</v>
      </c>
      <c r="R7" s="85">
        <f>IF(F7="Forested",G7,0)</f>
        <v>1.5</v>
      </c>
      <c r="S7" s="32">
        <f>IF(F7="Open Water", G7,0)</f>
        <v>0</v>
      </c>
      <c r="T7" s="107"/>
      <c r="U7" s="108">
        <f>IF(B7="Emergent",D7,0)</f>
        <v>0</v>
      </c>
      <c r="V7" s="108">
        <f>IF(B7="Scrub-Shrub",D7,0)</f>
        <v>0</v>
      </c>
      <c r="W7" s="40">
        <f>IF(B7="Forested",D7,0)</f>
        <v>0.5</v>
      </c>
      <c r="X7" s="40">
        <f>IF(B7="Open Water",D7,0)</f>
        <v>0</v>
      </c>
      <c r="Y7" s="40"/>
      <c r="Z7" s="40"/>
      <c r="AA7" s="40"/>
      <c r="AB7" s="40"/>
      <c r="AC7" s="40" t="s">
        <v>54</v>
      </c>
      <c r="AD7" s="40">
        <v>1</v>
      </c>
      <c r="AE7" s="109" t="s">
        <v>20</v>
      </c>
      <c r="AF7" s="109" t="s">
        <v>28</v>
      </c>
      <c r="AG7" s="109" t="s">
        <v>34</v>
      </c>
      <c r="AH7" s="110" t="s">
        <v>36</v>
      </c>
      <c r="AI7" s="109" t="s">
        <v>56</v>
      </c>
      <c r="AJ7" s="104" t="s">
        <v>52</v>
      </c>
      <c r="AK7" s="80"/>
      <c r="AL7" s="80"/>
    </row>
    <row r="8" spans="1:38" ht="12.75" customHeight="1" x14ac:dyDescent="0.2">
      <c r="A8" s="389" t="s">
        <v>70</v>
      </c>
      <c r="B8" s="700" t="s">
        <v>64</v>
      </c>
      <c r="C8" s="700"/>
      <c r="D8" s="677">
        <v>0.2</v>
      </c>
      <c r="E8" s="677"/>
      <c r="F8" s="388" t="s">
        <v>64</v>
      </c>
      <c r="G8" s="380">
        <f>IF(M13="y",D8,IF(B3="Mitigation Bank",H8,IF(OR(B8="Open Water",B8="Emergent"),D8*2,IF(B8="Scrub-Shrub",D8*3,IF(B8="Forested",D8*3,0)))))</f>
        <v>0.4</v>
      </c>
      <c r="H8" s="381">
        <f t="shared" ref="H8:H18" si="0">IF(OR(B8="Open Water",B8="Emergent"),D8,IF(AND(F8="Scrub Shrub",OR(B8="Open Water",B8="Emergent")),D8*2, IF(AND(F8="Forested", B8="Scrub Shrub"),D8*2,IF(AND(B8="Forested", OR(F8="Open Water",F8="Emergent")),D8*3,D8))))</f>
        <v>0.2</v>
      </c>
      <c r="I8" s="381"/>
      <c r="J8" s="55"/>
      <c r="K8" s="55"/>
      <c r="L8" s="55"/>
      <c r="M8" s="55"/>
      <c r="N8" s="55"/>
      <c r="O8" s="55"/>
      <c r="P8" s="84">
        <f t="shared" ref="P8:P18" si="1">IF(F8="Emergent",G8,0)</f>
        <v>0.4</v>
      </c>
      <c r="Q8" s="85">
        <f t="shared" ref="Q8:Q18" si="2">IF(F8="Scrub-Shrub", G8,0)</f>
        <v>0</v>
      </c>
      <c r="R8" s="85">
        <f t="shared" ref="R8:R18" si="3">IF(F8="Forested",G8,0)</f>
        <v>0</v>
      </c>
      <c r="S8" s="32">
        <f t="shared" ref="S8:S18" si="4">IF(F8="Open Water", G8,0)</f>
        <v>0</v>
      </c>
      <c r="T8" s="107"/>
      <c r="U8" s="108">
        <f t="shared" ref="U8:U18" si="5">IF(B8="Emergent",D8,0)</f>
        <v>0.2</v>
      </c>
      <c r="V8" s="108">
        <f t="shared" ref="V8:V18" si="6">IF(B8="Scrub-Shrub",D8,0)</f>
        <v>0</v>
      </c>
      <c r="W8" s="40">
        <f t="shared" ref="W8:W18" si="7">IF(B8="Forested",D8,0)</f>
        <v>0</v>
      </c>
      <c r="X8" s="40">
        <f t="shared" ref="X8:X18" si="8">IF(B8="Open Water",D8,0)</f>
        <v>0</v>
      </c>
      <c r="Y8" s="40"/>
      <c r="Z8" s="40"/>
      <c r="AA8" s="40"/>
      <c r="AB8" s="40" t="s">
        <v>64</v>
      </c>
      <c r="AC8" s="40" t="s">
        <v>61</v>
      </c>
      <c r="AD8" s="40">
        <v>2</v>
      </c>
      <c r="AE8" s="109" t="s">
        <v>21</v>
      </c>
      <c r="AF8" s="109" t="s">
        <v>29</v>
      </c>
      <c r="AG8" s="109" t="s">
        <v>35</v>
      </c>
      <c r="AH8" s="110" t="s">
        <v>37</v>
      </c>
      <c r="AI8" s="109" t="s">
        <v>58</v>
      </c>
      <c r="AJ8" s="104" t="s">
        <v>50</v>
      </c>
      <c r="AK8" s="80"/>
      <c r="AL8" s="80"/>
    </row>
    <row r="9" spans="1:38" ht="14.25" x14ac:dyDescent="0.2">
      <c r="A9" s="390" t="s">
        <v>71</v>
      </c>
      <c r="B9" s="677" t="s">
        <v>64</v>
      </c>
      <c r="C9" s="677"/>
      <c r="D9" s="677">
        <v>0</v>
      </c>
      <c r="E9" s="677"/>
      <c r="F9" s="388" t="s">
        <v>64</v>
      </c>
      <c r="G9" s="380">
        <f>IF(M13="y",D9,IF(B3="Mitigation Bank",H9,IF(OR(B9="Open Water",B9="Emergent"),D9*2,IF(B9="Scrub-Shrub",D9*3,IF(B9="Forested",D9*3,0)))))</f>
        <v>0</v>
      </c>
      <c r="H9" s="381">
        <f t="shared" si="0"/>
        <v>0</v>
      </c>
      <c r="I9" s="381"/>
      <c r="J9" s="55"/>
      <c r="K9" s="55"/>
      <c r="L9" s="55"/>
      <c r="M9" s="55"/>
      <c r="N9" s="55"/>
      <c r="O9" s="55"/>
      <c r="P9" s="84">
        <f t="shared" si="1"/>
        <v>0</v>
      </c>
      <c r="Q9" s="85">
        <f t="shared" si="2"/>
        <v>0</v>
      </c>
      <c r="R9" s="85">
        <f t="shared" si="3"/>
        <v>0</v>
      </c>
      <c r="S9" s="32">
        <f t="shared" si="4"/>
        <v>0</v>
      </c>
      <c r="T9" s="107"/>
      <c r="U9" s="108">
        <f t="shared" si="5"/>
        <v>0</v>
      </c>
      <c r="V9" s="108">
        <f t="shared" si="6"/>
        <v>0</v>
      </c>
      <c r="W9" s="40">
        <f t="shared" si="7"/>
        <v>0</v>
      </c>
      <c r="X9" s="40">
        <f t="shared" si="8"/>
        <v>0</v>
      </c>
      <c r="Y9" s="40"/>
      <c r="Z9" s="40"/>
      <c r="AA9" s="40"/>
      <c r="AB9" s="40" t="s">
        <v>65</v>
      </c>
      <c r="AC9" s="40"/>
      <c r="AD9" s="40">
        <v>3</v>
      </c>
      <c r="AE9" s="109" t="s">
        <v>22</v>
      </c>
      <c r="AF9" s="109" t="s">
        <v>30</v>
      </c>
      <c r="AG9" s="40"/>
      <c r="AH9" s="110" t="s">
        <v>38</v>
      </c>
      <c r="AI9" s="109" t="s">
        <v>57</v>
      </c>
      <c r="AJ9" s="105" t="s">
        <v>88</v>
      </c>
      <c r="AK9" s="80"/>
      <c r="AL9" s="80"/>
    </row>
    <row r="10" spans="1:38" ht="21" customHeight="1" x14ac:dyDescent="0.2">
      <c r="A10" s="390" t="s">
        <v>72</v>
      </c>
      <c r="B10" s="677" t="s">
        <v>64</v>
      </c>
      <c r="C10" s="677"/>
      <c r="D10" s="677">
        <v>0</v>
      </c>
      <c r="E10" s="677"/>
      <c r="F10" s="388" t="s">
        <v>64</v>
      </c>
      <c r="G10" s="380">
        <f>IF(M13="y",D10,IF(B3="Mitigation Bank",H10,IF(OR(B10="Open Water",B10="Emergent"),D10*2,IF(B10="Scrub-Shrub",D10*3,IF(B10="Forested",D10*3,0)))))</f>
        <v>0</v>
      </c>
      <c r="H10" s="381">
        <f t="shared" si="0"/>
        <v>0</v>
      </c>
      <c r="I10" s="381"/>
      <c r="J10" s="55"/>
      <c r="K10" s="55"/>
      <c r="L10" s="55"/>
      <c r="M10" s="55"/>
      <c r="N10" s="55"/>
      <c r="O10" s="55"/>
      <c r="P10" s="84">
        <f t="shared" si="1"/>
        <v>0</v>
      </c>
      <c r="Q10" s="85">
        <f t="shared" si="2"/>
        <v>0</v>
      </c>
      <c r="R10" s="85">
        <f t="shared" si="3"/>
        <v>0</v>
      </c>
      <c r="S10" s="32">
        <f t="shared" si="4"/>
        <v>0</v>
      </c>
      <c r="T10" s="107"/>
      <c r="U10" s="108">
        <f t="shared" si="5"/>
        <v>0</v>
      </c>
      <c r="V10" s="108">
        <f t="shared" si="6"/>
        <v>0</v>
      </c>
      <c r="W10" s="40">
        <f t="shared" si="7"/>
        <v>0</v>
      </c>
      <c r="X10" s="40">
        <f t="shared" si="8"/>
        <v>0</v>
      </c>
      <c r="Y10" s="40"/>
      <c r="Z10" s="40"/>
      <c r="AA10" s="40"/>
      <c r="AB10" s="40" t="s">
        <v>66</v>
      </c>
      <c r="AC10" s="40"/>
      <c r="AD10" s="40">
        <v>4</v>
      </c>
      <c r="AE10" s="109" t="s">
        <v>23</v>
      </c>
      <c r="AF10" s="109" t="s">
        <v>31</v>
      </c>
      <c r="AG10" s="40"/>
      <c r="AH10" s="110" t="s">
        <v>39</v>
      </c>
      <c r="AI10" s="109" t="s">
        <v>59</v>
      </c>
      <c r="AJ10" s="105" t="s">
        <v>89</v>
      </c>
      <c r="AK10" s="80"/>
      <c r="AL10" s="80"/>
    </row>
    <row r="11" spans="1:38" ht="22.5" customHeight="1" x14ac:dyDescent="0.2">
      <c r="A11" s="390" t="s">
        <v>73</v>
      </c>
      <c r="B11" s="677" t="s">
        <v>64</v>
      </c>
      <c r="C11" s="677"/>
      <c r="D11" s="677">
        <v>0</v>
      </c>
      <c r="E11" s="677"/>
      <c r="F11" s="388" t="s">
        <v>64</v>
      </c>
      <c r="G11" s="380">
        <f>IF(M13="y",D11,IF(B3="Mitigation Bank",H11,IF(OR(B11="Open Water",B11="Emergent"),D11*2,IF(B11="Scrub-Shrub",D11*3,IF(B11="Forested",D11*3,0)))))</f>
        <v>0</v>
      </c>
      <c r="H11" s="381">
        <f t="shared" si="0"/>
        <v>0</v>
      </c>
      <c r="I11" s="381"/>
      <c r="J11" s="55"/>
      <c r="K11" s="55"/>
      <c r="L11" s="55"/>
      <c r="M11" s="55"/>
      <c r="N11" s="55"/>
      <c r="O11" s="55"/>
      <c r="P11" s="84">
        <f t="shared" si="1"/>
        <v>0</v>
      </c>
      <c r="Q11" s="85">
        <f t="shared" si="2"/>
        <v>0</v>
      </c>
      <c r="R11" s="85">
        <f t="shared" si="3"/>
        <v>0</v>
      </c>
      <c r="S11" s="32">
        <f t="shared" si="4"/>
        <v>0</v>
      </c>
      <c r="T11" s="107"/>
      <c r="U11" s="108">
        <f t="shared" si="5"/>
        <v>0</v>
      </c>
      <c r="V11" s="108">
        <f t="shared" si="6"/>
        <v>0</v>
      </c>
      <c r="W11" s="40">
        <f t="shared" si="7"/>
        <v>0</v>
      </c>
      <c r="X11" s="40">
        <f t="shared" si="8"/>
        <v>0</v>
      </c>
      <c r="Y11" s="40"/>
      <c r="Z11" s="40"/>
      <c r="AA11" s="40"/>
      <c r="AB11" s="40" t="s">
        <v>98</v>
      </c>
      <c r="AC11" s="40"/>
      <c r="AD11" s="40">
        <v>5</v>
      </c>
      <c r="AE11" s="109" t="s">
        <v>24</v>
      </c>
      <c r="AF11" s="109" t="s">
        <v>32</v>
      </c>
      <c r="AG11" s="40"/>
      <c r="AH11" s="110" t="s">
        <v>40</v>
      </c>
      <c r="AI11" s="40"/>
      <c r="AJ11" s="105"/>
      <c r="AK11" s="80"/>
      <c r="AL11" s="80"/>
    </row>
    <row r="12" spans="1:38" ht="15" x14ac:dyDescent="0.25">
      <c r="A12" s="390" t="s">
        <v>74</v>
      </c>
      <c r="B12" s="677" t="s">
        <v>64</v>
      </c>
      <c r="C12" s="677"/>
      <c r="D12" s="677">
        <v>0</v>
      </c>
      <c r="E12" s="677"/>
      <c r="F12" s="388" t="s">
        <v>64</v>
      </c>
      <c r="G12" s="380">
        <f>IF(M13="y",D12,IF(B3="Mitigation Bank",H12,IF(OR(B12="Open Water",B12="Emergent"),D12*2,IF(B12="Scrub-Shrub",D12*3,IF(B12="Forested",D12*3,0)))))</f>
        <v>0</v>
      </c>
      <c r="H12" s="381">
        <f t="shared" si="0"/>
        <v>0</v>
      </c>
      <c r="I12" s="381"/>
      <c r="J12" s="55"/>
      <c r="K12" s="55"/>
      <c r="L12" s="706" t="s">
        <v>110</v>
      </c>
      <c r="M12" s="706"/>
      <c r="N12" s="706"/>
      <c r="O12" s="706"/>
      <c r="P12" s="84">
        <f>IF(F12="Emergent",G12,0)</f>
        <v>0</v>
      </c>
      <c r="Q12" s="85">
        <f t="shared" si="2"/>
        <v>0</v>
      </c>
      <c r="R12" s="85">
        <f t="shared" si="3"/>
        <v>0</v>
      </c>
      <c r="S12" s="32">
        <f t="shared" si="4"/>
        <v>0</v>
      </c>
      <c r="T12" s="107"/>
      <c r="U12" s="108">
        <f t="shared" si="5"/>
        <v>0</v>
      </c>
      <c r="V12" s="108">
        <f t="shared" si="6"/>
        <v>0</v>
      </c>
      <c r="W12" s="40">
        <f t="shared" si="7"/>
        <v>0</v>
      </c>
      <c r="X12" s="40">
        <f t="shared" si="8"/>
        <v>0</v>
      </c>
      <c r="Y12" s="40"/>
      <c r="Z12" s="40"/>
      <c r="AA12" s="40"/>
      <c r="AB12" s="40"/>
      <c r="AC12" s="40"/>
      <c r="AD12" s="40">
        <v>6</v>
      </c>
      <c r="AE12" s="109" t="s">
        <v>25</v>
      </c>
      <c r="AF12" s="109" t="s">
        <v>33</v>
      </c>
      <c r="AG12" s="40"/>
      <c r="AH12" s="111" t="s">
        <v>143</v>
      </c>
      <c r="AI12" s="40"/>
      <c r="AJ12" s="105"/>
      <c r="AK12" s="80"/>
      <c r="AL12" s="80"/>
    </row>
    <row r="13" spans="1:38" ht="14.25" customHeight="1" x14ac:dyDescent="0.2">
      <c r="A13" s="390" t="s">
        <v>75</v>
      </c>
      <c r="B13" s="677" t="s">
        <v>64</v>
      </c>
      <c r="C13" s="677"/>
      <c r="D13" s="677">
        <v>0</v>
      </c>
      <c r="E13" s="677"/>
      <c r="F13" s="388" t="s">
        <v>64</v>
      </c>
      <c r="G13" s="380">
        <f>IF(M13="y",D13,IF(B3="Mitigation Bank",H13,IF(OR(B13="Open Water",B13="Emergent"),D13*2,IF(B13="Scrub-Shrub",D13*3,IF(B13="Forested",D13*3,0)))))</f>
        <v>0</v>
      </c>
      <c r="H13" s="381">
        <f t="shared" si="0"/>
        <v>0</v>
      </c>
      <c r="I13" s="381"/>
      <c r="J13" s="55"/>
      <c r="K13" s="55"/>
      <c r="L13" s="703" t="s">
        <v>205</v>
      </c>
      <c r="M13" s="705" t="s">
        <v>109</v>
      </c>
      <c r="N13" s="705"/>
      <c r="O13" s="705"/>
      <c r="P13" s="84">
        <f t="shared" si="1"/>
        <v>0</v>
      </c>
      <c r="Q13" s="85">
        <f t="shared" si="2"/>
        <v>0</v>
      </c>
      <c r="R13" s="85">
        <f t="shared" si="3"/>
        <v>0</v>
      </c>
      <c r="S13" s="32">
        <f t="shared" si="4"/>
        <v>0</v>
      </c>
      <c r="T13" s="107"/>
      <c r="U13" s="108">
        <f t="shared" si="5"/>
        <v>0</v>
      </c>
      <c r="V13" s="108">
        <f t="shared" si="6"/>
        <v>0</v>
      </c>
      <c r="W13" s="40">
        <f t="shared" si="7"/>
        <v>0</v>
      </c>
      <c r="X13" s="40">
        <f t="shared" si="8"/>
        <v>0</v>
      </c>
      <c r="Y13" s="40"/>
      <c r="Z13" s="40"/>
      <c r="AA13" s="40"/>
      <c r="AB13" s="40"/>
      <c r="AC13" s="40"/>
      <c r="AD13" s="40">
        <v>7</v>
      </c>
      <c r="AE13" s="109" t="s">
        <v>26</v>
      </c>
      <c r="AF13" s="40"/>
      <c r="AG13" s="40"/>
      <c r="AH13" s="32"/>
      <c r="AI13" s="40"/>
      <c r="AJ13" s="80"/>
      <c r="AK13" s="80"/>
      <c r="AL13" s="80"/>
    </row>
    <row r="14" spans="1:38" ht="14.25" customHeight="1" x14ac:dyDescent="0.2">
      <c r="A14" s="390" t="s">
        <v>76</v>
      </c>
      <c r="B14" s="677" t="s">
        <v>64</v>
      </c>
      <c r="C14" s="677"/>
      <c r="D14" s="677">
        <v>0</v>
      </c>
      <c r="E14" s="677"/>
      <c r="F14" s="388" t="s">
        <v>64</v>
      </c>
      <c r="G14" s="380">
        <f>IF(M13="y",D14,IF(B3="Mitigation Bank",H14,IF(OR(B14="Open Water",B14="Emergent"),D14*2,IF(B14="Scrub-Shrub",D14*3,IF(B14="Forested",D14*3,0)))))</f>
        <v>0</v>
      </c>
      <c r="H14" s="381">
        <f t="shared" si="0"/>
        <v>0</v>
      </c>
      <c r="I14" s="381"/>
      <c r="J14" s="55"/>
      <c r="K14" s="55"/>
      <c r="L14" s="704"/>
      <c r="M14" s="705"/>
      <c r="N14" s="705"/>
      <c r="O14" s="705"/>
      <c r="P14" s="84">
        <f t="shared" si="1"/>
        <v>0</v>
      </c>
      <c r="Q14" s="85">
        <f t="shared" si="2"/>
        <v>0</v>
      </c>
      <c r="R14" s="85">
        <f t="shared" si="3"/>
        <v>0</v>
      </c>
      <c r="S14" s="32">
        <f t="shared" si="4"/>
        <v>0</v>
      </c>
      <c r="T14" s="107"/>
      <c r="U14" s="108">
        <f t="shared" si="5"/>
        <v>0</v>
      </c>
      <c r="V14" s="108">
        <f t="shared" si="6"/>
        <v>0</v>
      </c>
      <c r="W14" s="40">
        <f t="shared" si="7"/>
        <v>0</v>
      </c>
      <c r="X14" s="40">
        <f t="shared" si="8"/>
        <v>0</v>
      </c>
      <c r="Y14" s="40"/>
      <c r="Z14" s="40"/>
      <c r="AA14" s="40"/>
      <c r="AB14" s="40"/>
      <c r="AC14" s="40"/>
      <c r="AD14" s="40">
        <v>8</v>
      </c>
      <c r="AE14" s="109" t="s">
        <v>27</v>
      </c>
      <c r="AF14" s="40"/>
      <c r="AG14" s="40"/>
      <c r="AH14" s="32"/>
      <c r="AI14" s="40"/>
      <c r="AJ14" s="80"/>
      <c r="AK14" s="80"/>
      <c r="AL14" s="80"/>
    </row>
    <row r="15" spans="1:38" ht="14.25" x14ac:dyDescent="0.2">
      <c r="A15" s="390" t="s">
        <v>77</v>
      </c>
      <c r="B15" s="677" t="s">
        <v>64</v>
      </c>
      <c r="C15" s="677"/>
      <c r="D15" s="677">
        <v>0</v>
      </c>
      <c r="E15" s="677"/>
      <c r="F15" s="388" t="s">
        <v>64</v>
      </c>
      <c r="G15" s="380">
        <f>IF(M13="y",D15,IF(B3="Mitigation Bank",H15,IF(OR(B15="Open Water",B15="Emergent"),D15*2,IF(B15="Scrub-Shrub",D15*3,IF(B15="Forested",D15*3,0)))))</f>
        <v>0</v>
      </c>
      <c r="H15" s="381">
        <f t="shared" si="0"/>
        <v>0</v>
      </c>
      <c r="I15" s="381"/>
      <c r="J15" s="55"/>
      <c r="K15" s="55"/>
      <c r="L15" s="704"/>
      <c r="M15" s="705"/>
      <c r="N15" s="705"/>
      <c r="O15" s="705"/>
      <c r="P15" s="84">
        <f t="shared" si="1"/>
        <v>0</v>
      </c>
      <c r="Q15" s="85">
        <f t="shared" si="2"/>
        <v>0</v>
      </c>
      <c r="R15" s="85">
        <f t="shared" si="3"/>
        <v>0</v>
      </c>
      <c r="S15" s="32">
        <f t="shared" si="4"/>
        <v>0</v>
      </c>
      <c r="T15" s="107"/>
      <c r="U15" s="108">
        <f t="shared" si="5"/>
        <v>0</v>
      </c>
      <c r="V15" s="108">
        <f t="shared" si="6"/>
        <v>0</v>
      </c>
      <c r="W15" s="40">
        <f t="shared" si="7"/>
        <v>0</v>
      </c>
      <c r="X15" s="40">
        <f t="shared" si="8"/>
        <v>0</v>
      </c>
      <c r="Y15" s="40"/>
      <c r="Z15" s="40"/>
      <c r="AA15" s="40"/>
      <c r="AB15" s="40"/>
      <c r="AC15" s="40"/>
      <c r="AD15" s="40">
        <v>9</v>
      </c>
      <c r="AE15" s="40"/>
      <c r="AF15" s="40"/>
      <c r="AG15" s="40"/>
      <c r="AH15" s="40"/>
      <c r="AI15" s="40"/>
      <c r="AJ15" s="80"/>
      <c r="AK15" s="80"/>
      <c r="AL15" s="80"/>
    </row>
    <row r="16" spans="1:38" ht="14.25" x14ac:dyDescent="0.2">
      <c r="A16" s="390" t="s">
        <v>78</v>
      </c>
      <c r="B16" s="677" t="s">
        <v>64</v>
      </c>
      <c r="C16" s="677"/>
      <c r="D16" s="677">
        <v>0</v>
      </c>
      <c r="E16" s="677"/>
      <c r="F16" s="388" t="s">
        <v>64</v>
      </c>
      <c r="G16" s="380">
        <f>IF(M13="y",D16,IF(B3="Mitigation Bank",H16,IF(OR(B16="Open Water",B16="Emergent"),D16*2,IF(B16="Scrub-Shrub",D16*3,IF(B16="Forested",D16*3,0)))))</f>
        <v>0</v>
      </c>
      <c r="H16" s="381">
        <f t="shared" si="0"/>
        <v>0</v>
      </c>
      <c r="I16" s="381"/>
      <c r="J16" s="55"/>
      <c r="K16" s="55"/>
      <c r="L16" s="55"/>
      <c r="M16" s="55"/>
      <c r="N16" s="55"/>
      <c r="O16" s="55"/>
      <c r="P16" s="84">
        <f t="shared" si="1"/>
        <v>0</v>
      </c>
      <c r="Q16" s="85">
        <f t="shared" si="2"/>
        <v>0</v>
      </c>
      <c r="R16" s="85">
        <f t="shared" si="3"/>
        <v>0</v>
      </c>
      <c r="S16" s="32">
        <f t="shared" si="4"/>
        <v>0</v>
      </c>
      <c r="T16" s="107"/>
      <c r="U16" s="108">
        <f t="shared" si="5"/>
        <v>0</v>
      </c>
      <c r="V16" s="108">
        <f t="shared" si="6"/>
        <v>0</v>
      </c>
      <c r="W16" s="40">
        <f t="shared" si="7"/>
        <v>0</v>
      </c>
      <c r="X16" s="40">
        <f t="shared" si="8"/>
        <v>0</v>
      </c>
      <c r="Y16" s="40"/>
      <c r="Z16" s="40"/>
      <c r="AA16" s="40"/>
      <c r="AB16" s="40"/>
      <c r="AC16" s="40"/>
      <c r="AD16" s="40">
        <v>10</v>
      </c>
      <c r="AE16" s="40"/>
      <c r="AF16" s="40"/>
      <c r="AG16" s="40"/>
      <c r="AH16" s="40"/>
      <c r="AI16" s="40"/>
      <c r="AJ16" s="80"/>
      <c r="AK16" s="80"/>
      <c r="AL16" s="80"/>
    </row>
    <row r="17" spans="1:38" ht="14.25" x14ac:dyDescent="0.2">
      <c r="A17" s="390" t="s">
        <v>79</v>
      </c>
      <c r="B17" s="677" t="s">
        <v>64</v>
      </c>
      <c r="C17" s="677"/>
      <c r="D17" s="677">
        <v>0</v>
      </c>
      <c r="E17" s="677"/>
      <c r="F17" s="388" t="s">
        <v>64</v>
      </c>
      <c r="G17" s="380">
        <f>IF(M13="y",D17,IF(B3="Mitigation Bank",H17,IF(OR(B17="Open Water",B17="Emergent"),D17*2,IF(B17="Scrub-Shrub",D17*3,IF(B17="Forested",D17*3,0)))))</f>
        <v>0</v>
      </c>
      <c r="H17" s="381">
        <f t="shared" si="0"/>
        <v>0</v>
      </c>
      <c r="I17" s="381"/>
      <c r="J17" s="55"/>
      <c r="K17" s="55"/>
      <c r="L17" s="72"/>
      <c r="M17" s="72"/>
      <c r="N17" s="72"/>
      <c r="O17" s="72"/>
      <c r="P17" s="84">
        <f t="shared" si="1"/>
        <v>0</v>
      </c>
      <c r="Q17" s="85">
        <f t="shared" si="2"/>
        <v>0</v>
      </c>
      <c r="R17" s="85">
        <f t="shared" si="3"/>
        <v>0</v>
      </c>
      <c r="S17" s="32">
        <f t="shared" si="4"/>
        <v>0</v>
      </c>
      <c r="T17" s="107"/>
      <c r="U17" s="108">
        <f t="shared" si="5"/>
        <v>0</v>
      </c>
      <c r="V17" s="108">
        <f t="shared" si="6"/>
        <v>0</v>
      </c>
      <c r="W17" s="40">
        <f t="shared" si="7"/>
        <v>0</v>
      </c>
      <c r="X17" s="40">
        <f t="shared" si="8"/>
        <v>0</v>
      </c>
      <c r="Y17" s="40"/>
      <c r="Z17" s="40"/>
      <c r="AA17" s="40"/>
      <c r="AB17" s="40"/>
      <c r="AC17" s="40"/>
      <c r="AD17" s="40">
        <v>11</v>
      </c>
      <c r="AE17" s="40"/>
      <c r="AF17" s="40"/>
      <c r="AG17" s="40"/>
      <c r="AH17" s="40"/>
      <c r="AI17" s="40"/>
      <c r="AJ17" s="80"/>
      <c r="AK17" s="80"/>
      <c r="AL17" s="80"/>
    </row>
    <row r="18" spans="1:38" ht="14.25" customHeight="1" x14ac:dyDescent="0.2">
      <c r="A18" s="390" t="s">
        <v>80</v>
      </c>
      <c r="B18" s="677" t="s">
        <v>64</v>
      </c>
      <c r="C18" s="677"/>
      <c r="D18" s="677">
        <v>0</v>
      </c>
      <c r="E18" s="677"/>
      <c r="F18" s="388" t="s">
        <v>66</v>
      </c>
      <c r="G18" s="380">
        <f>IF(M13="y",D18,IF(B3="Mitigation Bank",H18,IF(OR(B18="Open Water",B18="Emergent"),D18*2,IF(B18="Scrub-Shrub",D18*3,IF(B18="Forested",D18*3,0)))))</f>
        <v>0</v>
      </c>
      <c r="H18" s="381">
        <f t="shared" si="0"/>
        <v>0</v>
      </c>
      <c r="I18" s="381"/>
      <c r="J18" s="55"/>
      <c r="K18" s="55"/>
      <c r="L18" s="72"/>
      <c r="M18" s="72"/>
      <c r="N18" s="72"/>
      <c r="O18" s="72"/>
      <c r="P18" s="84">
        <f t="shared" si="1"/>
        <v>0</v>
      </c>
      <c r="Q18" s="85">
        <f t="shared" si="2"/>
        <v>0</v>
      </c>
      <c r="R18" s="85">
        <f t="shared" si="3"/>
        <v>0</v>
      </c>
      <c r="S18" s="32">
        <f t="shared" si="4"/>
        <v>0</v>
      </c>
      <c r="T18" s="107"/>
      <c r="U18" s="108">
        <f t="shared" si="5"/>
        <v>0</v>
      </c>
      <c r="V18" s="108">
        <f t="shared" si="6"/>
        <v>0</v>
      </c>
      <c r="W18" s="40">
        <f t="shared" si="7"/>
        <v>0</v>
      </c>
      <c r="X18" s="40">
        <f t="shared" si="8"/>
        <v>0</v>
      </c>
      <c r="Y18" s="40"/>
      <c r="Z18" s="40"/>
      <c r="AA18" s="40"/>
      <c r="AB18" s="40"/>
      <c r="AC18" s="40"/>
      <c r="AD18" s="40">
        <v>12</v>
      </c>
      <c r="AE18" s="40"/>
      <c r="AF18" s="40"/>
      <c r="AG18" s="40"/>
      <c r="AH18" s="40"/>
      <c r="AI18" s="40"/>
      <c r="AJ18" s="80"/>
      <c r="AK18" s="80"/>
      <c r="AL18" s="80"/>
    </row>
    <row r="19" spans="1:38" ht="21" customHeight="1" x14ac:dyDescent="0.25">
      <c r="A19" s="692" t="s">
        <v>113</v>
      </c>
      <c r="B19" s="693"/>
      <c r="C19" s="694"/>
      <c r="D19" s="702">
        <f>SUM(D7:E18)</f>
        <v>0.7</v>
      </c>
      <c r="E19" s="702"/>
      <c r="F19" s="385"/>
      <c r="G19" s="381"/>
      <c r="H19" s="381"/>
      <c r="I19" s="381"/>
      <c r="J19" s="55"/>
      <c r="K19" s="55"/>
      <c r="L19" s="72"/>
      <c r="M19" s="72"/>
      <c r="N19" s="72"/>
      <c r="O19" s="72"/>
      <c r="P19" s="84"/>
      <c r="Q19" s="85"/>
      <c r="R19" s="85"/>
      <c r="S19" s="32"/>
      <c r="T19" s="107"/>
      <c r="U19" s="108">
        <f>SUM(U7:U18)</f>
        <v>0.2</v>
      </c>
      <c r="V19" s="108">
        <f>SUM(V7:V18)</f>
        <v>0</v>
      </c>
      <c r="W19" s="108">
        <f>SUM(W7:W18)</f>
        <v>0.5</v>
      </c>
      <c r="X19" s="108">
        <f>SUM(X7:X18)</f>
        <v>0</v>
      </c>
      <c r="Y19" s="40"/>
      <c r="Z19" s="40"/>
      <c r="AA19" s="40"/>
      <c r="AB19" s="40"/>
      <c r="AC19" s="40"/>
      <c r="AD19" s="40"/>
      <c r="AE19" s="40"/>
      <c r="AF19" s="40"/>
      <c r="AG19" s="40"/>
      <c r="AH19" s="40"/>
      <c r="AI19" s="40"/>
      <c r="AJ19" s="80"/>
      <c r="AK19" s="80"/>
      <c r="AL19" s="80"/>
    </row>
    <row r="20" spans="1:38" ht="14.25" customHeight="1" x14ac:dyDescent="0.25">
      <c r="A20" s="684" t="s">
        <v>111</v>
      </c>
      <c r="B20" s="685"/>
      <c r="C20" s="685"/>
      <c r="D20" s="685"/>
      <c r="E20" s="685"/>
      <c r="F20" s="686"/>
      <c r="G20" s="381"/>
      <c r="H20" s="381"/>
      <c r="I20" s="381"/>
      <c r="J20" s="55"/>
      <c r="K20" s="55"/>
      <c r="L20" s="687" t="s">
        <v>106</v>
      </c>
      <c r="M20" s="687"/>
      <c r="N20" s="687"/>
      <c r="O20" s="687"/>
      <c r="P20" s="84"/>
      <c r="Q20" s="85"/>
      <c r="R20" s="85"/>
      <c r="S20" s="32"/>
      <c r="T20" s="107"/>
      <c r="U20" s="108"/>
      <c r="V20" s="108"/>
      <c r="W20" s="40"/>
      <c r="X20" s="40"/>
      <c r="Y20" s="40"/>
      <c r="Z20" s="40"/>
      <c r="AA20" s="40"/>
      <c r="AB20" s="40"/>
      <c r="AC20" s="40"/>
      <c r="AD20" s="40"/>
      <c r="AE20" s="40"/>
      <c r="AF20" s="40"/>
      <c r="AG20" s="40"/>
      <c r="AH20" s="40"/>
      <c r="AI20" s="40"/>
      <c r="AJ20" s="80"/>
      <c r="AK20" s="80"/>
      <c r="AL20" s="80"/>
    </row>
    <row r="21" spans="1:38" ht="14.25" customHeight="1" x14ac:dyDescent="0.25">
      <c r="A21" s="689" t="s">
        <v>102</v>
      </c>
      <c r="B21" s="690"/>
      <c r="C21" s="690"/>
      <c r="D21" s="690"/>
      <c r="E21" s="691"/>
      <c r="F21" s="394" t="s">
        <v>112</v>
      </c>
      <c r="G21" s="382"/>
      <c r="H21" s="382"/>
      <c r="I21" s="381"/>
      <c r="J21" s="55"/>
      <c r="K21" s="55"/>
      <c r="L21" s="687"/>
      <c r="M21" s="687"/>
      <c r="N21" s="687"/>
      <c r="O21" s="687"/>
      <c r="P21" s="84"/>
      <c r="Q21" s="85"/>
      <c r="R21" s="85"/>
      <c r="S21" s="32"/>
      <c r="T21" s="107"/>
      <c r="U21" s="108"/>
      <c r="V21" s="108"/>
      <c r="W21" s="40"/>
      <c r="X21" s="40"/>
      <c r="Y21" s="40"/>
      <c r="Z21" s="40"/>
      <c r="AA21" s="40"/>
      <c r="AB21" s="40"/>
      <c r="AC21" s="40"/>
      <c r="AD21" s="40"/>
      <c r="AE21" s="40"/>
      <c r="AF21" s="40"/>
      <c r="AG21" s="40"/>
      <c r="AH21" s="40"/>
      <c r="AI21" s="40"/>
      <c r="AJ21" s="80"/>
      <c r="AK21" s="80"/>
      <c r="AL21" s="80"/>
    </row>
    <row r="22" spans="1:38" ht="15" x14ac:dyDescent="0.25">
      <c r="A22" s="681" t="s">
        <v>67</v>
      </c>
      <c r="B22" s="682"/>
      <c r="C22" s="682"/>
      <c r="D22" s="682"/>
      <c r="E22" s="683"/>
      <c r="F22" s="76">
        <f>SUM(P7:P18)</f>
        <v>0.4</v>
      </c>
      <c r="G22" s="152"/>
      <c r="H22" s="193"/>
      <c r="I22" s="381"/>
      <c r="J22" s="55"/>
      <c r="K22" s="55"/>
      <c r="L22" s="668">
        <f>F26*60000</f>
        <v>114000</v>
      </c>
      <c r="M22" s="669"/>
      <c r="N22" s="669"/>
      <c r="O22" s="670"/>
      <c r="P22" s="72"/>
      <c r="Q22" s="40"/>
      <c r="R22" s="40"/>
      <c r="S22" s="40"/>
      <c r="T22" s="34"/>
      <c r="U22" s="112"/>
      <c r="V22" s="112"/>
      <c r="W22" s="40"/>
      <c r="X22" s="40"/>
      <c r="Y22" s="40"/>
      <c r="Z22" s="40"/>
      <c r="AA22" s="40"/>
      <c r="AB22" s="40"/>
      <c r="AC22" s="40"/>
      <c r="AD22" s="40">
        <v>13</v>
      </c>
      <c r="AE22" s="40"/>
      <c r="AF22" s="40"/>
      <c r="AG22" s="40"/>
      <c r="AH22" s="40"/>
      <c r="AI22" s="40"/>
      <c r="AJ22" s="80"/>
      <c r="AK22" s="80"/>
      <c r="AL22" s="80"/>
    </row>
    <row r="23" spans="1:38" ht="15" x14ac:dyDescent="0.25">
      <c r="A23" s="678" t="s">
        <v>68</v>
      </c>
      <c r="B23" s="679"/>
      <c r="C23" s="679"/>
      <c r="D23" s="679"/>
      <c r="E23" s="680"/>
      <c r="F23" s="76">
        <f>SUM(Q7:Q18)</f>
        <v>0</v>
      </c>
      <c r="G23" s="152"/>
      <c r="H23" s="383"/>
      <c r="I23" s="381"/>
      <c r="J23" s="73"/>
      <c r="K23" s="73"/>
      <c r="L23" s="671"/>
      <c r="M23" s="672"/>
      <c r="N23" s="672"/>
      <c r="O23" s="673"/>
      <c r="P23" s="72"/>
      <c r="Q23" s="40"/>
      <c r="R23" s="40"/>
      <c r="S23" s="40"/>
      <c r="T23" s="40"/>
      <c r="U23" s="40"/>
      <c r="V23" s="40"/>
      <c r="W23" s="40"/>
      <c r="X23" s="40"/>
      <c r="Y23" s="40"/>
      <c r="Z23" s="40"/>
      <c r="AA23" s="40"/>
      <c r="AB23" s="40"/>
      <c r="AC23" s="40"/>
      <c r="AD23" s="40">
        <v>14</v>
      </c>
      <c r="AE23" s="40"/>
      <c r="AF23" s="40"/>
      <c r="AG23" s="40"/>
      <c r="AH23" s="40"/>
      <c r="AI23" s="40"/>
      <c r="AJ23" s="80"/>
      <c r="AK23" s="80"/>
      <c r="AL23" s="80"/>
    </row>
    <row r="24" spans="1:38" ht="15" x14ac:dyDescent="0.25">
      <c r="A24" s="678" t="s">
        <v>69</v>
      </c>
      <c r="B24" s="679"/>
      <c r="C24" s="679"/>
      <c r="D24" s="679"/>
      <c r="E24" s="680"/>
      <c r="F24" s="77">
        <f>SUM(R7:R18)</f>
        <v>1.5</v>
      </c>
      <c r="G24" s="152"/>
      <c r="H24" s="383"/>
      <c r="I24" s="381"/>
      <c r="J24" s="73"/>
      <c r="K24" s="73"/>
      <c r="L24" s="74"/>
      <c r="M24" s="688"/>
      <c r="N24" s="688"/>
      <c r="O24" s="688"/>
      <c r="P24" s="72"/>
      <c r="Q24" s="40"/>
      <c r="R24" s="40"/>
      <c r="S24" s="40"/>
      <c r="T24" s="40"/>
      <c r="U24" s="40"/>
      <c r="V24" s="40"/>
      <c r="W24" s="40"/>
      <c r="X24" s="40"/>
      <c r="Y24" s="40"/>
      <c r="Z24" s="40"/>
      <c r="AA24" s="40"/>
      <c r="AB24" s="40"/>
      <c r="AC24" s="40"/>
      <c r="AD24" s="40">
        <v>15</v>
      </c>
      <c r="AE24" s="40"/>
      <c r="AF24" s="40"/>
      <c r="AG24" s="40"/>
      <c r="AH24" s="40"/>
      <c r="AI24" s="40"/>
      <c r="AJ24" s="80"/>
      <c r="AK24" s="80"/>
      <c r="AL24" s="80"/>
    </row>
    <row r="25" spans="1:38" ht="15" x14ac:dyDescent="0.25">
      <c r="A25" s="681" t="s">
        <v>101</v>
      </c>
      <c r="B25" s="682"/>
      <c r="C25" s="682"/>
      <c r="D25" s="682"/>
      <c r="E25" s="683"/>
      <c r="F25" s="78">
        <f>SUM(S7:S18)</f>
        <v>0</v>
      </c>
      <c r="G25" s="152"/>
      <c r="H25" s="152"/>
      <c r="I25" s="381"/>
      <c r="J25" s="55"/>
      <c r="K25" s="55"/>
      <c r="L25" s="75"/>
      <c r="M25" s="676"/>
      <c r="N25" s="676"/>
      <c r="O25" s="676"/>
      <c r="P25" s="86"/>
      <c r="Q25" s="87"/>
      <c r="R25" s="87"/>
      <c r="S25" s="94"/>
      <c r="T25" s="40"/>
      <c r="U25" s="40"/>
      <c r="V25" s="40"/>
      <c r="W25" s="40"/>
      <c r="X25" s="40"/>
      <c r="Y25" s="40"/>
      <c r="Z25" s="40"/>
      <c r="AA25" s="40"/>
      <c r="AB25" s="40"/>
      <c r="AC25" s="40"/>
      <c r="AD25" s="40">
        <v>16</v>
      </c>
      <c r="AE25" s="40"/>
      <c r="AF25" s="40"/>
      <c r="AG25" s="40"/>
      <c r="AH25" s="40"/>
      <c r="AI25" s="40"/>
      <c r="AJ25" s="80"/>
      <c r="AK25" s="80"/>
      <c r="AL25" s="80"/>
    </row>
    <row r="26" spans="1:38" x14ac:dyDescent="0.2">
      <c r="A26" s="79"/>
      <c r="B26" s="55"/>
      <c r="C26" s="55"/>
      <c r="D26" s="55"/>
      <c r="E26" s="55"/>
      <c r="F26" s="80">
        <f>SUM(F22:F25)</f>
        <v>1.9</v>
      </c>
      <c r="G26" s="55"/>
      <c r="H26" s="55"/>
      <c r="I26" s="55"/>
      <c r="J26" s="55"/>
      <c r="K26" s="55"/>
      <c r="L26" s="72"/>
      <c r="M26" s="72"/>
      <c r="N26" s="72"/>
      <c r="O26" s="72"/>
      <c r="P26" s="86"/>
      <c r="Q26" s="87"/>
      <c r="R26" s="87"/>
      <c r="S26" s="87"/>
      <c r="T26" s="40"/>
      <c r="U26" s="40"/>
      <c r="V26" s="40"/>
      <c r="W26" s="40"/>
      <c r="X26" s="40"/>
      <c r="Y26" s="40"/>
      <c r="Z26" s="40"/>
      <c r="AA26" s="40"/>
      <c r="AB26" s="40"/>
      <c r="AC26" s="40"/>
      <c r="AD26" s="40">
        <v>17</v>
      </c>
      <c r="AE26" s="40"/>
      <c r="AF26" s="40"/>
      <c r="AG26" s="40"/>
      <c r="AH26" s="40"/>
      <c r="AI26" s="40"/>
      <c r="AJ26" s="80"/>
      <c r="AK26" s="80"/>
      <c r="AL26" s="80"/>
    </row>
    <row r="27" spans="1:38" hidden="1" x14ac:dyDescent="0.2">
      <c r="A27" s="55"/>
      <c r="B27" s="55"/>
      <c r="C27" s="55"/>
      <c r="D27" s="55"/>
      <c r="E27" s="55"/>
      <c r="F27" s="55"/>
      <c r="G27" s="55"/>
      <c r="H27" s="55"/>
      <c r="I27" s="55"/>
      <c r="J27" s="55"/>
      <c r="K27" s="55"/>
      <c r="L27" s="89"/>
      <c r="M27" s="89"/>
      <c r="N27" s="89"/>
      <c r="O27" s="89"/>
      <c r="P27" s="86"/>
      <c r="Q27" s="87"/>
      <c r="R27" s="87"/>
      <c r="S27" s="87"/>
      <c r="T27" s="40"/>
      <c r="U27" s="40"/>
      <c r="V27" s="40"/>
      <c r="W27" s="40"/>
      <c r="X27" s="40"/>
      <c r="Y27" s="40"/>
      <c r="Z27" s="40"/>
      <c r="AA27" s="40"/>
      <c r="AB27" s="40"/>
      <c r="AC27" s="40"/>
      <c r="AD27" s="40">
        <v>18</v>
      </c>
      <c r="AE27" s="40"/>
      <c r="AF27" s="40"/>
      <c r="AG27" s="40"/>
      <c r="AH27" s="40"/>
      <c r="AI27" s="40"/>
      <c r="AJ27" s="80"/>
      <c r="AK27" s="80"/>
      <c r="AL27" s="80"/>
    </row>
    <row r="28" spans="1:38" hidden="1" x14ac:dyDescent="0.2">
      <c r="A28" s="55"/>
      <c r="B28" s="55"/>
      <c r="C28" s="55"/>
      <c r="D28" s="55"/>
      <c r="E28" s="55"/>
      <c r="F28" s="55"/>
      <c r="G28" s="55"/>
      <c r="H28" s="55"/>
      <c r="I28" s="55"/>
      <c r="J28" s="55"/>
      <c r="K28" s="55"/>
      <c r="L28" s="89"/>
      <c r="M28" s="89"/>
      <c r="N28" s="89"/>
      <c r="O28" s="89"/>
      <c r="P28" s="87"/>
      <c r="Q28" s="87"/>
      <c r="R28" s="87"/>
      <c r="S28" s="87"/>
      <c r="T28" s="40"/>
      <c r="U28" s="40"/>
      <c r="V28" s="40"/>
      <c r="W28" s="40"/>
      <c r="X28" s="40"/>
      <c r="Y28" s="40"/>
      <c r="Z28" s="40"/>
      <c r="AA28" s="40"/>
      <c r="AB28" s="40"/>
      <c r="AC28" s="40"/>
      <c r="AD28" s="40">
        <v>19</v>
      </c>
      <c r="AE28" s="40"/>
      <c r="AF28" s="40"/>
      <c r="AG28" s="40"/>
      <c r="AH28" s="40"/>
      <c r="AI28" s="40"/>
      <c r="AJ28" s="80"/>
      <c r="AK28" s="80"/>
      <c r="AL28" s="80"/>
    </row>
    <row r="29" spans="1:38" hidden="1" x14ac:dyDescent="0.2">
      <c r="A29" s="55"/>
      <c r="B29" s="55"/>
      <c r="C29" s="55"/>
      <c r="D29" s="55"/>
      <c r="E29" s="55"/>
      <c r="F29" s="55"/>
      <c r="G29" s="55"/>
      <c r="H29" s="55"/>
      <c r="I29" s="55"/>
      <c r="J29" s="55"/>
      <c r="K29" s="55"/>
      <c r="L29" s="55"/>
      <c r="M29" s="55"/>
      <c r="N29" s="55"/>
      <c r="O29" s="55"/>
      <c r="P29" s="87"/>
      <c r="Q29" s="87"/>
      <c r="R29" s="87"/>
      <c r="S29" s="87"/>
      <c r="T29" s="40"/>
      <c r="U29" s="40"/>
      <c r="V29" s="40"/>
      <c r="W29" s="40"/>
      <c r="X29" s="40"/>
      <c r="Y29" s="40"/>
      <c r="Z29" s="40"/>
      <c r="AA29" s="40"/>
      <c r="AB29" s="40"/>
      <c r="AC29" s="40"/>
      <c r="AD29" s="40">
        <v>20</v>
      </c>
      <c r="AE29" s="40"/>
      <c r="AF29" s="40"/>
      <c r="AG29" s="40"/>
      <c r="AH29" s="40"/>
      <c r="AI29" s="40"/>
      <c r="AJ29" s="80"/>
      <c r="AK29" s="80"/>
      <c r="AL29" s="80"/>
    </row>
    <row r="30" spans="1:38" ht="15" hidden="1" customHeight="1" x14ac:dyDescent="0.2">
      <c r="A30" s="55"/>
      <c r="B30" s="55"/>
      <c r="C30" s="55"/>
      <c r="D30" s="55"/>
      <c r="E30" s="55"/>
      <c r="F30" s="55"/>
      <c r="G30" s="55"/>
      <c r="H30" s="55"/>
      <c r="I30" s="55"/>
      <c r="J30" s="55"/>
      <c r="K30" s="55"/>
      <c r="L30" s="55"/>
      <c r="M30" s="55"/>
      <c r="N30" s="55"/>
      <c r="O30" s="55"/>
      <c r="P30" s="87"/>
      <c r="Q30" s="87"/>
      <c r="R30" s="87"/>
      <c r="S30" s="87"/>
      <c r="T30" s="40"/>
      <c r="U30" s="40"/>
      <c r="V30" s="40"/>
      <c r="W30" s="40"/>
      <c r="X30" s="40"/>
      <c r="Y30" s="40"/>
      <c r="Z30" s="40"/>
      <c r="AA30" s="40"/>
      <c r="AB30" s="40"/>
      <c r="AC30" s="40"/>
      <c r="AD30" s="40"/>
      <c r="AE30" s="40"/>
      <c r="AF30" s="40"/>
      <c r="AG30" s="40"/>
      <c r="AH30" s="40"/>
      <c r="AI30" s="40"/>
      <c r="AJ30" s="80"/>
      <c r="AK30" s="80"/>
      <c r="AL30" s="80"/>
    </row>
    <row r="31" spans="1:38" ht="18" hidden="1" customHeight="1" x14ac:dyDescent="0.2">
      <c r="A31" s="55"/>
      <c r="B31" s="55"/>
      <c r="C31" s="55"/>
      <c r="D31" s="55"/>
      <c r="E31" s="55"/>
      <c r="F31" s="55"/>
      <c r="G31" s="55"/>
      <c r="H31" s="55"/>
      <c r="I31" s="55"/>
      <c r="J31" s="55"/>
      <c r="K31" s="55"/>
      <c r="L31" s="55"/>
      <c r="M31" s="55"/>
      <c r="N31" s="55"/>
      <c r="O31" s="55"/>
      <c r="P31" s="55"/>
      <c r="Q31" s="55"/>
      <c r="R31" s="55"/>
      <c r="S31" s="55"/>
      <c r="T31" s="40"/>
      <c r="U31" s="40"/>
      <c r="V31" s="40"/>
      <c r="W31" s="40"/>
      <c r="X31" s="40"/>
      <c r="Y31" s="40"/>
      <c r="Z31" s="40"/>
      <c r="AA31" s="40"/>
      <c r="AB31" s="40"/>
      <c r="AC31" s="40"/>
      <c r="AD31" s="40"/>
      <c r="AE31" s="40"/>
      <c r="AF31" s="40"/>
      <c r="AG31" s="40"/>
      <c r="AH31" s="40"/>
      <c r="AI31" s="40"/>
      <c r="AJ31" s="80"/>
      <c r="AK31" s="80"/>
      <c r="AL31" s="80"/>
    </row>
    <row r="32" spans="1:38" hidden="1" x14ac:dyDescent="0.2">
      <c r="A32" s="55"/>
      <c r="B32" s="55"/>
      <c r="C32" s="55"/>
      <c r="D32" s="55"/>
      <c r="E32" s="55"/>
      <c r="F32" s="55"/>
      <c r="G32" s="55"/>
      <c r="H32" s="55"/>
      <c r="I32" s="55"/>
      <c r="J32" s="55"/>
      <c r="K32" s="55"/>
      <c r="L32" s="55"/>
      <c r="M32" s="55"/>
      <c r="N32" s="55"/>
      <c r="O32" s="55"/>
      <c r="P32" s="55"/>
      <c r="Q32" s="55"/>
      <c r="R32" s="55"/>
      <c r="S32" s="55"/>
      <c r="T32" s="40"/>
      <c r="U32" s="40"/>
      <c r="V32" s="40"/>
      <c r="W32" s="40"/>
      <c r="X32" s="40"/>
      <c r="Y32" s="40"/>
      <c r="Z32" s="40"/>
      <c r="AA32" s="40"/>
      <c r="AB32" s="40"/>
      <c r="AC32" s="40"/>
      <c r="AD32" s="40"/>
      <c r="AE32" s="40"/>
      <c r="AF32" s="40"/>
      <c r="AG32" s="40"/>
      <c r="AH32" s="40"/>
      <c r="AI32" s="40"/>
      <c r="AJ32" s="80"/>
      <c r="AK32" s="80"/>
      <c r="AL32" s="80"/>
    </row>
    <row r="33" spans="1:38" hidden="1" x14ac:dyDescent="0.2">
      <c r="A33" s="55"/>
      <c r="B33" s="55"/>
      <c r="C33" s="55"/>
      <c r="D33" s="55"/>
      <c r="E33" s="55"/>
      <c r="F33" s="55"/>
      <c r="G33" s="55"/>
      <c r="H33" s="55"/>
      <c r="I33" s="55"/>
      <c r="J33" s="55"/>
      <c r="K33" s="55"/>
      <c r="L33" s="55"/>
      <c r="M33" s="55"/>
      <c r="N33" s="55"/>
      <c r="O33" s="55"/>
      <c r="P33" s="55"/>
      <c r="Q33" s="55"/>
      <c r="R33" s="55"/>
      <c r="S33" s="55"/>
      <c r="T33" s="40"/>
      <c r="U33" s="40"/>
      <c r="V33" s="40"/>
      <c r="W33" s="40"/>
      <c r="X33" s="40"/>
      <c r="Y33" s="40"/>
      <c r="Z33" s="40"/>
      <c r="AA33" s="40"/>
      <c r="AB33" s="40"/>
      <c r="AC33" s="40"/>
      <c r="AD33" s="40"/>
      <c r="AE33" s="40"/>
      <c r="AF33" s="40"/>
      <c r="AG33" s="106"/>
      <c r="AH33" s="106"/>
      <c r="AI33" s="106"/>
      <c r="AJ33" s="103"/>
      <c r="AK33" s="103"/>
      <c r="AL33" s="103"/>
    </row>
    <row r="34" spans="1:38" hidden="1" x14ac:dyDescent="0.2">
      <c r="A34" s="55"/>
      <c r="B34" s="55"/>
      <c r="C34" s="55"/>
      <c r="D34" s="55"/>
      <c r="E34" s="55"/>
      <c r="F34" s="55"/>
      <c r="G34" s="55"/>
      <c r="H34" s="55"/>
      <c r="I34" s="55"/>
      <c r="J34" s="55"/>
      <c r="K34" s="55"/>
      <c r="L34" s="55"/>
      <c r="M34" s="55"/>
      <c r="N34" s="55"/>
      <c r="O34" s="55"/>
      <c r="P34" s="55"/>
      <c r="Q34" s="55"/>
      <c r="R34" s="55"/>
      <c r="S34" s="55"/>
      <c r="T34" s="40"/>
      <c r="U34" s="40"/>
      <c r="V34" s="40"/>
      <c r="W34" s="40"/>
      <c r="X34" s="40"/>
      <c r="Y34" s="40"/>
      <c r="Z34" s="40"/>
      <c r="AA34" s="40"/>
      <c r="AB34" s="40"/>
      <c r="AC34" s="40"/>
      <c r="AD34" s="40"/>
      <c r="AE34" s="40"/>
      <c r="AF34" s="40"/>
      <c r="AG34" s="106"/>
      <c r="AH34" s="106"/>
      <c r="AI34" s="106"/>
      <c r="AJ34" s="103"/>
      <c r="AK34" s="103"/>
      <c r="AL34" s="103"/>
    </row>
    <row r="35" spans="1:38" hidden="1" x14ac:dyDescent="0.2">
      <c r="A35" s="55"/>
      <c r="B35" s="55"/>
      <c r="C35" s="55"/>
      <c r="D35" s="55"/>
      <c r="E35" s="55"/>
      <c r="F35" s="55"/>
      <c r="G35" s="55"/>
      <c r="H35" s="55"/>
      <c r="I35" s="55"/>
      <c r="J35" s="55"/>
      <c r="K35" s="55"/>
      <c r="L35" s="55"/>
      <c r="M35" s="55"/>
      <c r="N35" s="55"/>
      <c r="O35" s="55"/>
      <c r="P35" s="55"/>
      <c r="Q35" s="55"/>
      <c r="R35" s="55"/>
      <c r="S35" s="55"/>
      <c r="T35" s="106"/>
      <c r="U35" s="106"/>
      <c r="V35" s="106"/>
      <c r="W35" s="106"/>
      <c r="X35" s="106"/>
      <c r="Y35" s="106"/>
      <c r="Z35" s="106"/>
      <c r="AA35" s="106"/>
      <c r="AB35" s="106"/>
      <c r="AC35" s="106"/>
      <c r="AD35" s="106"/>
      <c r="AE35" s="106"/>
      <c r="AF35" s="106"/>
      <c r="AG35" s="106"/>
      <c r="AH35" s="106"/>
      <c r="AI35" s="106"/>
      <c r="AJ35" s="103"/>
      <c r="AK35" s="103"/>
      <c r="AL35" s="103"/>
    </row>
    <row r="36" spans="1:38" hidden="1" x14ac:dyDescent="0.2">
      <c r="A36" s="55"/>
      <c r="B36" s="55"/>
      <c r="C36" s="55"/>
      <c r="D36" s="55"/>
      <c r="E36" s="55"/>
      <c r="F36" s="55"/>
      <c r="G36" s="55"/>
      <c r="H36" s="55"/>
      <c r="I36" s="55"/>
      <c r="J36" s="55"/>
      <c r="K36" s="55"/>
      <c r="L36" s="55"/>
      <c r="M36" s="55"/>
      <c r="N36" s="55"/>
      <c r="O36" s="55"/>
      <c r="P36" s="55"/>
      <c r="Q36" s="55"/>
      <c r="R36" s="55"/>
      <c r="S36" s="55"/>
      <c r="T36" s="106"/>
      <c r="U36" s="106"/>
      <c r="V36" s="106"/>
      <c r="W36" s="106"/>
      <c r="X36" s="106"/>
      <c r="Y36" s="106"/>
      <c r="Z36" s="106"/>
      <c r="AA36" s="106"/>
      <c r="AB36" s="106"/>
      <c r="AC36" s="106"/>
      <c r="AD36" s="106"/>
      <c r="AE36" s="106"/>
      <c r="AF36" s="106"/>
      <c r="AG36" s="106"/>
      <c r="AH36" s="106"/>
      <c r="AI36" s="106"/>
      <c r="AJ36" s="103"/>
      <c r="AK36" s="103"/>
      <c r="AL36" s="103"/>
    </row>
    <row r="37" spans="1:38" hidden="1" x14ac:dyDescent="0.2">
      <c r="A37" s="55"/>
      <c r="B37" s="55"/>
      <c r="C37" s="55"/>
      <c r="D37" s="55"/>
      <c r="E37" s="55"/>
      <c r="F37" s="55"/>
      <c r="G37" s="90"/>
      <c r="H37" s="55"/>
      <c r="I37" s="55"/>
      <c r="J37" s="55"/>
      <c r="K37" s="55"/>
      <c r="L37" s="59"/>
      <c r="M37" s="55"/>
      <c r="N37" s="55"/>
      <c r="O37" s="55"/>
      <c r="P37" s="55"/>
      <c r="Q37" s="55"/>
      <c r="R37" s="55"/>
      <c r="S37" s="55"/>
      <c r="T37" s="106"/>
      <c r="U37" s="106"/>
      <c r="V37" s="106"/>
      <c r="W37" s="106"/>
      <c r="X37" s="106"/>
      <c r="Y37" s="106"/>
      <c r="Z37" s="106"/>
      <c r="AA37" s="106"/>
      <c r="AB37" s="106"/>
      <c r="AC37" s="106"/>
      <c r="AD37" s="106"/>
      <c r="AE37" s="106"/>
      <c r="AF37" s="106"/>
      <c r="AG37" s="106"/>
      <c r="AH37" s="106"/>
      <c r="AI37" s="106"/>
      <c r="AJ37" s="103"/>
      <c r="AK37" s="103"/>
      <c r="AL37" s="103"/>
    </row>
    <row r="38" spans="1:38" hidden="1" x14ac:dyDescent="0.2">
      <c r="A38" s="55"/>
      <c r="B38" s="55"/>
      <c r="C38" s="55"/>
      <c r="D38" s="55"/>
      <c r="E38" s="55"/>
      <c r="F38" s="55"/>
      <c r="G38" s="91"/>
      <c r="H38" s="55"/>
      <c r="I38" s="55"/>
      <c r="J38" s="55"/>
      <c r="K38" s="55"/>
      <c r="L38" s="55"/>
      <c r="M38" s="92"/>
      <c r="N38" s="54"/>
      <c r="O38" s="55"/>
      <c r="P38" s="55"/>
      <c r="Q38" s="55"/>
      <c r="R38" s="55"/>
      <c r="S38" s="55"/>
      <c r="T38" s="106"/>
      <c r="U38" s="106"/>
      <c r="V38" s="106"/>
      <c r="W38" s="106"/>
      <c r="X38" s="106"/>
      <c r="Y38" s="106"/>
      <c r="Z38" s="106"/>
      <c r="AA38" s="106"/>
      <c r="AB38" s="106"/>
      <c r="AC38" s="106"/>
      <c r="AD38" s="106"/>
      <c r="AE38" s="106"/>
      <c r="AF38" s="106"/>
      <c r="AG38" s="106"/>
      <c r="AH38" s="106"/>
      <c r="AI38" s="106"/>
      <c r="AJ38" s="103"/>
      <c r="AK38" s="103"/>
      <c r="AL38" s="103"/>
    </row>
    <row r="39" spans="1:38" hidden="1" x14ac:dyDescent="0.2">
      <c r="A39" s="55"/>
      <c r="B39" s="55"/>
      <c r="C39" s="55"/>
      <c r="D39" s="55"/>
      <c r="E39" s="55"/>
      <c r="F39" s="55"/>
      <c r="G39" s="55"/>
      <c r="H39" s="93"/>
      <c r="I39" s="93"/>
      <c r="J39" s="55"/>
      <c r="K39" s="55"/>
      <c r="L39" s="55"/>
      <c r="M39" s="55"/>
      <c r="N39" s="55"/>
      <c r="O39" s="55"/>
      <c r="P39" s="55"/>
      <c r="Q39" s="55"/>
      <c r="R39" s="55"/>
      <c r="S39" s="55"/>
      <c r="T39" s="106"/>
      <c r="U39" s="106"/>
      <c r="V39" s="106"/>
      <c r="W39" s="106"/>
      <c r="X39" s="106"/>
      <c r="Y39" s="106"/>
      <c r="Z39" s="106"/>
      <c r="AA39" s="106"/>
      <c r="AB39" s="106"/>
      <c r="AC39" s="106"/>
      <c r="AD39" s="106"/>
      <c r="AE39" s="106"/>
      <c r="AF39" s="106"/>
      <c r="AG39" s="106"/>
      <c r="AH39" s="106"/>
      <c r="AI39" s="106"/>
      <c r="AJ39" s="103"/>
      <c r="AK39" s="103"/>
      <c r="AL39" s="103"/>
    </row>
    <row r="40" spans="1:38" hidden="1" x14ac:dyDescent="0.2">
      <c r="A40" s="55"/>
      <c r="B40" s="55"/>
      <c r="C40" s="55"/>
      <c r="D40" s="55"/>
      <c r="E40" s="55"/>
      <c r="F40" s="55"/>
      <c r="G40" s="55"/>
      <c r="H40" s="93"/>
      <c r="I40" s="93"/>
      <c r="J40" s="59"/>
      <c r="K40" s="55"/>
      <c r="L40" s="55"/>
      <c r="M40" s="55"/>
      <c r="N40" s="55"/>
      <c r="O40" s="55"/>
      <c r="P40" s="55"/>
      <c r="Q40" s="55"/>
      <c r="R40" s="55"/>
      <c r="S40" s="55"/>
      <c r="T40" s="106"/>
      <c r="U40" s="106"/>
      <c r="V40" s="106"/>
      <c r="W40" s="106"/>
      <c r="X40" s="106"/>
      <c r="Y40" s="106"/>
      <c r="Z40" s="106"/>
      <c r="AA40" s="106"/>
      <c r="AB40" s="106"/>
      <c r="AC40" s="106"/>
      <c r="AD40" s="106"/>
      <c r="AE40" s="106"/>
      <c r="AF40" s="106"/>
      <c r="AG40" s="106"/>
      <c r="AH40" s="106"/>
      <c r="AI40" s="106"/>
      <c r="AJ40" s="103"/>
      <c r="AK40" s="103"/>
      <c r="AL40" s="103"/>
    </row>
    <row r="41" spans="1:38" hidden="1" x14ac:dyDescent="0.2">
      <c r="A41" s="55"/>
      <c r="B41" s="55"/>
      <c r="C41" s="55"/>
      <c r="D41" s="55"/>
      <c r="E41" s="55"/>
      <c r="F41" s="55"/>
      <c r="G41" s="55"/>
      <c r="H41" s="93"/>
      <c r="I41" s="93"/>
      <c r="J41" s="59"/>
      <c r="K41" s="55"/>
      <c r="L41" s="55"/>
      <c r="M41" s="55"/>
      <c r="N41" s="55"/>
      <c r="O41" s="55"/>
      <c r="P41" s="55"/>
      <c r="Q41" s="55"/>
      <c r="R41" s="55"/>
      <c r="S41" s="55"/>
      <c r="T41" s="8"/>
      <c r="U41" s="8"/>
      <c r="V41" s="8"/>
      <c r="W41" s="8"/>
      <c r="X41" s="8"/>
      <c r="Y41" s="8"/>
      <c r="Z41" s="8"/>
      <c r="AA41" s="8"/>
      <c r="AB41" s="8"/>
      <c r="AC41" s="8"/>
      <c r="AD41" s="8"/>
      <c r="AE41" s="8"/>
      <c r="AF41" s="8"/>
      <c r="AG41" s="8"/>
      <c r="AH41" s="8"/>
      <c r="AI41" s="8"/>
    </row>
    <row r="42" spans="1:38" hidden="1" x14ac:dyDescent="0.2">
      <c r="A42" s="55"/>
      <c r="B42" s="55"/>
      <c r="C42" s="55"/>
      <c r="D42" s="55"/>
      <c r="E42" s="55"/>
      <c r="F42" s="55"/>
      <c r="G42" s="55"/>
      <c r="H42" s="93"/>
      <c r="I42" s="93"/>
      <c r="J42" s="59"/>
      <c r="K42" s="55"/>
      <c r="L42" s="55"/>
      <c r="M42" s="55"/>
      <c r="N42" s="55"/>
      <c r="O42" s="55"/>
      <c r="P42" s="55"/>
      <c r="Q42" s="55"/>
      <c r="R42" s="55"/>
      <c r="S42" s="55"/>
      <c r="T42" s="8"/>
      <c r="U42" s="8"/>
      <c r="V42" s="8"/>
      <c r="W42" s="8"/>
      <c r="X42" s="8"/>
      <c r="Y42" s="8"/>
      <c r="Z42" s="8"/>
      <c r="AA42" s="8"/>
      <c r="AB42" s="8"/>
      <c r="AC42" s="8"/>
      <c r="AD42" s="8"/>
      <c r="AE42" s="8"/>
      <c r="AF42" s="8"/>
      <c r="AG42" s="8"/>
      <c r="AH42" s="8"/>
      <c r="AI42" s="8"/>
    </row>
    <row r="43" spans="1:38" ht="12.75" hidden="1" customHeight="1" x14ac:dyDescent="0.2">
      <c r="A43" s="55"/>
      <c r="B43" s="55"/>
      <c r="C43" s="55"/>
      <c r="D43" s="55"/>
      <c r="E43" s="55"/>
      <c r="F43" s="55"/>
      <c r="G43" s="55"/>
      <c r="H43" s="73"/>
      <c r="I43" s="73"/>
      <c r="J43" s="59"/>
      <c r="K43" s="55"/>
      <c r="L43" s="55"/>
      <c r="M43" s="55"/>
      <c r="N43" s="55"/>
      <c r="O43" s="55"/>
      <c r="P43" s="55"/>
      <c r="Q43" s="55"/>
      <c r="R43" s="55"/>
      <c r="S43" s="55"/>
      <c r="T43" s="8"/>
      <c r="U43" s="8"/>
      <c r="V43" s="8"/>
      <c r="W43" s="8"/>
      <c r="X43" s="8"/>
      <c r="Y43" s="8"/>
      <c r="Z43" s="8"/>
      <c r="AA43" s="8"/>
      <c r="AB43" s="8"/>
      <c r="AC43" s="8"/>
      <c r="AD43" s="8"/>
      <c r="AE43" s="8"/>
      <c r="AF43" s="8"/>
      <c r="AG43" s="8"/>
      <c r="AH43" s="8"/>
      <c r="AI43" s="8"/>
    </row>
    <row r="44" spans="1:38" hidden="1" x14ac:dyDescent="0.2">
      <c r="A44" s="55"/>
      <c r="B44" s="55"/>
      <c r="C44" s="55"/>
      <c r="D44" s="55"/>
      <c r="E44" s="55"/>
      <c r="F44" s="55"/>
      <c r="G44" s="55"/>
      <c r="H44" s="73"/>
      <c r="I44" s="73"/>
      <c r="J44" s="59"/>
      <c r="K44" s="55"/>
      <c r="L44" s="55"/>
      <c r="M44" s="55"/>
      <c r="N44" s="55"/>
      <c r="O44" s="55"/>
      <c r="P44" s="55"/>
      <c r="Q44" s="55"/>
      <c r="R44" s="55"/>
      <c r="S44" s="55"/>
      <c r="T44" s="8"/>
      <c r="U44" s="8"/>
      <c r="V44" s="8"/>
      <c r="W44" s="8"/>
      <c r="X44" s="8"/>
      <c r="Y44" s="8"/>
      <c r="Z44" s="8"/>
      <c r="AA44" s="8"/>
      <c r="AB44" s="8"/>
      <c r="AC44" s="8"/>
      <c r="AD44" s="8"/>
      <c r="AE44" s="8"/>
      <c r="AF44" s="8"/>
      <c r="AG44" s="8"/>
      <c r="AH44" s="8"/>
      <c r="AI44" s="8"/>
    </row>
    <row r="45" spans="1:38" hidden="1" x14ac:dyDescent="0.2">
      <c r="A45" s="55"/>
      <c r="B45" s="55"/>
      <c r="C45" s="55"/>
      <c r="D45" s="55"/>
      <c r="E45" s="55"/>
      <c r="F45" s="55"/>
      <c r="G45" s="55"/>
      <c r="H45" s="55"/>
      <c r="I45" s="55"/>
      <c r="J45" s="55"/>
      <c r="K45" s="55"/>
      <c r="L45" s="55"/>
      <c r="M45" s="55"/>
      <c r="N45" s="55"/>
      <c r="O45" s="55"/>
      <c r="P45" s="55"/>
      <c r="Q45" s="55"/>
      <c r="R45" s="55"/>
      <c r="S45" s="55"/>
      <c r="T45" s="8"/>
      <c r="U45" s="8"/>
      <c r="V45" s="8"/>
      <c r="W45" s="8"/>
      <c r="X45" s="8"/>
      <c r="Y45" s="8"/>
      <c r="Z45" s="8"/>
      <c r="AA45" s="8"/>
      <c r="AB45" s="8"/>
      <c r="AC45" s="8"/>
      <c r="AD45" s="8"/>
      <c r="AE45" s="8"/>
      <c r="AF45" s="8"/>
      <c r="AG45" s="8"/>
      <c r="AH45" s="8"/>
      <c r="AI45" s="8"/>
    </row>
    <row r="46" spans="1:38" hidden="1" x14ac:dyDescent="0.2">
      <c r="A46" s="55"/>
      <c r="B46" s="55"/>
      <c r="C46" s="55"/>
      <c r="D46" s="55"/>
      <c r="E46" s="55"/>
      <c r="F46" s="55"/>
      <c r="G46" s="54"/>
      <c r="H46" s="55"/>
      <c r="I46" s="55"/>
      <c r="J46" s="55"/>
      <c r="K46" s="55"/>
      <c r="L46" s="55"/>
      <c r="M46" s="55"/>
      <c r="N46" s="55"/>
      <c r="O46" s="55"/>
      <c r="P46" s="55"/>
      <c r="Q46" s="55"/>
      <c r="R46" s="55"/>
      <c r="S46" s="55"/>
      <c r="T46" s="8"/>
      <c r="U46" s="8"/>
      <c r="V46" s="8"/>
      <c r="W46" s="8"/>
      <c r="X46" s="8"/>
      <c r="Y46" s="8"/>
      <c r="Z46" s="8"/>
      <c r="AA46" s="8"/>
      <c r="AB46" s="8"/>
      <c r="AC46" s="8"/>
      <c r="AD46" s="8"/>
      <c r="AE46" s="8"/>
      <c r="AF46" s="8"/>
      <c r="AG46" s="8"/>
      <c r="AH46" s="8"/>
      <c r="AI46" s="8"/>
    </row>
    <row r="47" spans="1:38" hidden="1" x14ac:dyDescent="0.2">
      <c r="A47" s="8"/>
      <c r="B47" s="8"/>
      <c r="C47" s="8"/>
      <c r="D47" s="8"/>
      <c r="E47" s="8"/>
      <c r="F47" s="8"/>
      <c r="G47" s="113"/>
      <c r="H47" s="113"/>
      <c r="I47" s="113"/>
      <c r="J47" s="113"/>
      <c r="K47" s="113"/>
      <c r="L47" s="113"/>
      <c r="M47" s="113"/>
      <c r="N47" s="113"/>
      <c r="O47" s="113"/>
      <c r="P47" s="8"/>
      <c r="Q47" s="8"/>
      <c r="R47" s="8"/>
      <c r="S47" s="8"/>
      <c r="T47" s="8"/>
      <c r="U47" s="8"/>
      <c r="V47" s="8"/>
      <c r="W47" s="8"/>
      <c r="X47" s="8"/>
      <c r="Y47" s="8"/>
      <c r="Z47" s="8"/>
      <c r="AA47" s="8"/>
      <c r="AB47" s="8"/>
      <c r="AC47" s="8"/>
      <c r="AD47" s="8"/>
      <c r="AE47" s="8"/>
      <c r="AF47" s="8"/>
      <c r="AG47" s="8"/>
      <c r="AH47" s="8"/>
      <c r="AI47" s="8"/>
    </row>
    <row r="48" spans="1:38" hidden="1" x14ac:dyDescent="0.2">
      <c r="A48" s="8"/>
      <c r="B48" s="8"/>
      <c r="C48" s="8"/>
      <c r="D48" s="8"/>
      <c r="E48" s="8"/>
      <c r="F48" s="8"/>
      <c r="G48" s="113"/>
      <c r="H48" s="113"/>
      <c r="I48" s="113"/>
      <c r="J48" s="113"/>
      <c r="K48" s="113"/>
      <c r="L48" s="113"/>
      <c r="M48" s="113"/>
      <c r="N48" s="113"/>
      <c r="O48" s="113"/>
      <c r="P48" s="8"/>
      <c r="Q48" s="8"/>
      <c r="R48" s="8"/>
      <c r="S48" s="8"/>
      <c r="T48" s="8"/>
      <c r="U48" s="8"/>
      <c r="V48" s="8"/>
      <c r="W48" s="8"/>
      <c r="X48" s="8"/>
      <c r="Y48" s="8"/>
      <c r="Z48" s="8"/>
      <c r="AA48" s="8"/>
      <c r="AB48" s="8"/>
      <c r="AC48" s="8"/>
      <c r="AD48" s="8"/>
      <c r="AE48" s="8"/>
      <c r="AF48" s="8"/>
      <c r="AG48" s="8"/>
      <c r="AH48" s="8"/>
      <c r="AI48" s="8"/>
    </row>
    <row r="49" spans="1:35" hidden="1" x14ac:dyDescent="0.2">
      <c r="A49" s="8"/>
      <c r="B49" s="8"/>
      <c r="C49" s="8"/>
      <c r="D49" s="8"/>
      <c r="E49" s="8"/>
      <c r="F49" s="8"/>
      <c r="G49" s="113"/>
      <c r="H49" s="113"/>
      <c r="I49" s="113"/>
      <c r="J49" s="113"/>
      <c r="K49" s="113"/>
      <c r="L49" s="113"/>
      <c r="M49" s="113"/>
      <c r="N49" s="113"/>
      <c r="O49" s="113"/>
      <c r="P49" s="8"/>
      <c r="Q49" s="8"/>
      <c r="R49" s="8"/>
      <c r="S49" s="8"/>
      <c r="T49" s="8"/>
      <c r="U49" s="8"/>
      <c r="V49" s="8"/>
      <c r="W49" s="8"/>
      <c r="X49" s="8"/>
      <c r="Y49" s="8"/>
      <c r="Z49" s="8"/>
      <c r="AA49" s="8"/>
      <c r="AB49" s="8"/>
      <c r="AC49" s="8"/>
      <c r="AD49" s="8"/>
      <c r="AE49" s="8"/>
      <c r="AF49" s="8"/>
      <c r="AG49" s="8"/>
      <c r="AH49" s="8"/>
      <c r="AI49" s="8"/>
    </row>
    <row r="50" spans="1:35" hidden="1" x14ac:dyDescent="0.2">
      <c r="A50" s="8"/>
      <c r="B50" s="8"/>
      <c r="C50" s="8"/>
      <c r="D50" s="8"/>
      <c r="E50" s="8"/>
      <c r="F50" s="8"/>
      <c r="G50" s="114"/>
      <c r="H50" s="114"/>
      <c r="I50" s="114"/>
      <c r="J50" s="114"/>
      <c r="K50" s="114"/>
      <c r="L50" s="114"/>
      <c r="M50" s="114"/>
      <c r="N50" s="114"/>
      <c r="O50" s="115"/>
      <c r="P50" s="8"/>
      <c r="Q50" s="8"/>
      <c r="R50" s="8"/>
      <c r="S50" s="8"/>
      <c r="T50" s="8"/>
      <c r="U50" s="8"/>
      <c r="V50" s="8"/>
      <c r="W50" s="8"/>
      <c r="X50" s="8"/>
      <c r="Y50" s="8"/>
      <c r="Z50" s="8"/>
      <c r="AA50" s="8"/>
      <c r="AB50" s="8"/>
      <c r="AC50" s="8"/>
      <c r="AD50" s="8"/>
      <c r="AE50" s="8"/>
      <c r="AF50" s="8"/>
      <c r="AG50" s="8"/>
      <c r="AH50" s="8"/>
      <c r="AI50" s="8"/>
    </row>
    <row r="51" spans="1:35" ht="12.75" hidden="1" customHeight="1" x14ac:dyDescent="0.2">
      <c r="A51" s="8"/>
      <c r="B51" s="8"/>
      <c r="C51" s="8"/>
      <c r="D51" s="8"/>
      <c r="E51" s="8"/>
      <c r="F51" s="8"/>
      <c r="G51" s="116"/>
      <c r="H51" s="9"/>
      <c r="I51" s="9"/>
      <c r="J51" s="9"/>
      <c r="K51" s="117"/>
      <c r="L51" s="118"/>
      <c r="M51" s="119"/>
      <c r="N51" s="119"/>
      <c r="O51" s="118"/>
      <c r="P51" s="8"/>
      <c r="Q51" s="8"/>
      <c r="R51" s="8"/>
      <c r="S51" s="8"/>
      <c r="T51" s="8"/>
      <c r="U51" s="8"/>
      <c r="V51" s="8"/>
      <c r="W51" s="8"/>
      <c r="X51" s="8"/>
      <c r="Y51" s="8"/>
      <c r="Z51" s="8"/>
      <c r="AA51" s="8"/>
      <c r="AB51" s="8"/>
      <c r="AC51" s="8"/>
      <c r="AD51" s="8"/>
      <c r="AE51" s="8"/>
      <c r="AF51" s="8"/>
      <c r="AG51" s="8"/>
      <c r="AH51" s="8"/>
      <c r="AI51" s="8"/>
    </row>
    <row r="52" spans="1:35" ht="12.75" hidden="1" customHeight="1" x14ac:dyDescent="0.2">
      <c r="A52" s="8"/>
      <c r="B52" s="8"/>
      <c r="C52" s="8"/>
      <c r="D52" s="8"/>
      <c r="E52" s="8"/>
      <c r="F52" s="8"/>
      <c r="G52" s="120"/>
      <c r="H52" s="121"/>
      <c r="I52" s="121"/>
      <c r="J52" s="121"/>
      <c r="K52" s="122"/>
      <c r="L52" s="123"/>
      <c r="M52" s="120"/>
      <c r="N52" s="123"/>
      <c r="O52" s="122"/>
      <c r="P52" s="8"/>
      <c r="Q52" s="8"/>
      <c r="R52" s="8"/>
      <c r="S52" s="8"/>
      <c r="T52" s="8"/>
      <c r="U52" s="8"/>
      <c r="V52" s="8"/>
      <c r="W52" s="8"/>
      <c r="X52" s="8"/>
      <c r="Y52" s="8"/>
      <c r="Z52" s="8"/>
      <c r="AA52" s="8"/>
      <c r="AB52" s="8"/>
      <c r="AC52" s="8"/>
      <c r="AD52" s="8"/>
      <c r="AE52" s="8"/>
      <c r="AF52" s="8"/>
      <c r="AG52" s="8"/>
      <c r="AH52" s="8"/>
      <c r="AI52" s="8"/>
    </row>
    <row r="53" spans="1:35" hidden="1" x14ac:dyDescent="0.2">
      <c r="A53" s="8"/>
      <c r="B53" s="8"/>
      <c r="C53" s="8"/>
      <c r="D53" s="8"/>
      <c r="E53" s="8"/>
      <c r="F53" s="8"/>
      <c r="G53" s="121"/>
      <c r="H53" s="121"/>
      <c r="I53" s="121"/>
      <c r="J53" s="121"/>
      <c r="K53" s="122"/>
      <c r="L53" s="123"/>
      <c r="M53" s="123"/>
      <c r="N53" s="123"/>
      <c r="O53" s="122"/>
      <c r="P53" s="8"/>
      <c r="Q53" s="8"/>
      <c r="R53" s="8"/>
      <c r="S53" s="8"/>
      <c r="T53" s="8"/>
      <c r="U53" s="8"/>
      <c r="V53" s="8"/>
      <c r="W53" s="8"/>
      <c r="X53" s="8"/>
      <c r="Y53" s="8"/>
      <c r="Z53" s="8"/>
      <c r="AA53" s="8"/>
      <c r="AB53" s="8"/>
      <c r="AC53" s="8"/>
      <c r="AD53" s="8"/>
      <c r="AE53" s="8"/>
      <c r="AF53" s="8"/>
      <c r="AG53" s="8"/>
      <c r="AH53" s="8"/>
      <c r="AI53" s="8"/>
    </row>
    <row r="54" spans="1:35" hidden="1" x14ac:dyDescent="0.2">
      <c r="A54" s="8"/>
      <c r="B54" s="8"/>
      <c r="C54" s="8"/>
      <c r="D54" s="8"/>
      <c r="E54" s="8"/>
      <c r="F54" s="8"/>
      <c r="G54" s="121"/>
      <c r="H54" s="121"/>
      <c r="I54" s="121"/>
      <c r="J54" s="121"/>
      <c r="K54" s="122"/>
      <c r="L54" s="123"/>
      <c r="M54" s="123"/>
      <c r="N54" s="123"/>
      <c r="O54" s="122"/>
      <c r="P54" s="8"/>
      <c r="Q54" s="8"/>
      <c r="R54" s="8"/>
      <c r="S54" s="8"/>
      <c r="T54" s="8"/>
      <c r="U54" s="8"/>
      <c r="V54" s="8"/>
      <c r="W54" s="8"/>
      <c r="X54" s="8"/>
      <c r="Y54" s="8"/>
      <c r="Z54" s="8"/>
      <c r="AA54" s="8"/>
      <c r="AB54" s="8"/>
      <c r="AC54" s="8"/>
      <c r="AD54" s="8"/>
      <c r="AE54" s="8"/>
      <c r="AF54" s="8"/>
      <c r="AG54" s="8"/>
      <c r="AH54" s="8"/>
      <c r="AI54" s="8"/>
    </row>
    <row r="55" spans="1:35" hidden="1" x14ac:dyDescent="0.2">
      <c r="A55" s="8"/>
      <c r="B55" s="8"/>
      <c r="C55" s="8"/>
      <c r="D55" s="8"/>
      <c r="E55" s="8"/>
      <c r="F55" s="8"/>
      <c r="G55" s="121"/>
      <c r="H55" s="121"/>
      <c r="I55" s="121"/>
      <c r="J55" s="121"/>
      <c r="K55" s="122"/>
      <c r="L55" s="122"/>
      <c r="M55" s="123"/>
      <c r="N55" s="123"/>
      <c r="O55" s="122"/>
      <c r="P55" s="8"/>
      <c r="Q55" s="8"/>
      <c r="R55" s="8"/>
      <c r="S55" s="8"/>
      <c r="T55" s="8"/>
      <c r="U55" s="8"/>
      <c r="V55" s="8"/>
      <c r="W55" s="8"/>
      <c r="X55" s="8"/>
      <c r="Y55" s="8"/>
      <c r="Z55" s="8"/>
      <c r="AA55" s="8"/>
      <c r="AB55" s="8"/>
      <c r="AC55" s="8"/>
      <c r="AD55" s="8"/>
      <c r="AE55" s="8"/>
      <c r="AF55" s="8"/>
      <c r="AG55" s="8"/>
      <c r="AH55" s="8"/>
      <c r="AI55" s="8"/>
    </row>
    <row r="56" spans="1:35" hidden="1" x14ac:dyDescent="0.2">
      <c r="A56" s="8"/>
      <c r="B56" s="8"/>
      <c r="C56" s="8"/>
      <c r="D56" s="8"/>
      <c r="E56" s="8"/>
      <c r="F56" s="8"/>
      <c r="G56" s="124"/>
      <c r="H56" s="124"/>
      <c r="I56" s="119"/>
      <c r="J56" s="125"/>
      <c r="K56" s="118"/>
      <c r="L56" s="9"/>
      <c r="M56" s="126"/>
      <c r="N56" s="127"/>
      <c r="O56" s="118"/>
      <c r="P56" s="8"/>
      <c r="Q56" s="8"/>
      <c r="R56" s="8"/>
      <c r="S56" s="8"/>
      <c r="T56" s="8"/>
      <c r="U56" s="8"/>
      <c r="V56" s="8"/>
      <c r="W56" s="8"/>
      <c r="X56" s="8"/>
      <c r="Y56" s="8"/>
      <c r="Z56" s="8"/>
      <c r="AA56" s="8"/>
      <c r="AB56" s="8"/>
      <c r="AC56" s="8"/>
      <c r="AD56" s="8"/>
      <c r="AE56" s="8"/>
      <c r="AF56" s="8"/>
      <c r="AG56" s="8"/>
      <c r="AH56" s="8"/>
      <c r="AI56" s="8"/>
    </row>
    <row r="57" spans="1:35" hidden="1" x14ac:dyDescent="0.2">
      <c r="A57" s="8"/>
      <c r="B57" s="8"/>
      <c r="C57" s="8"/>
      <c r="D57" s="8"/>
      <c r="E57" s="8"/>
      <c r="F57" s="8"/>
      <c r="G57" s="124"/>
      <c r="H57" s="124"/>
      <c r="I57" s="125"/>
      <c r="J57" s="125"/>
      <c r="K57" s="118"/>
      <c r="L57" s="9"/>
      <c r="M57" s="128"/>
      <c r="N57" s="7"/>
      <c r="O57" s="118"/>
      <c r="P57" s="8"/>
      <c r="Q57" s="8"/>
      <c r="R57" s="8"/>
      <c r="S57" s="8"/>
      <c r="T57" s="8"/>
      <c r="U57" s="8"/>
      <c r="V57" s="8"/>
      <c r="W57" s="8"/>
      <c r="X57" s="8"/>
      <c r="Y57" s="8"/>
      <c r="Z57" s="8"/>
      <c r="AA57" s="8"/>
      <c r="AB57" s="8"/>
      <c r="AC57" s="8"/>
      <c r="AD57" s="8"/>
      <c r="AE57" s="8"/>
      <c r="AF57" s="8"/>
      <c r="AG57" s="8"/>
      <c r="AH57" s="8"/>
      <c r="AI57" s="8"/>
    </row>
    <row r="58" spans="1:35" hidden="1" x14ac:dyDescent="0.2">
      <c r="A58" s="8"/>
      <c r="B58" s="8"/>
      <c r="C58" s="8"/>
      <c r="D58" s="8"/>
      <c r="E58" s="8"/>
      <c r="F58" s="8"/>
      <c r="G58" s="129"/>
      <c r="H58" s="129"/>
      <c r="I58" s="130"/>
      <c r="J58" s="130"/>
      <c r="K58" s="115"/>
      <c r="L58" s="131"/>
      <c r="M58" s="7"/>
      <c r="N58" s="7"/>
      <c r="O58" s="118"/>
      <c r="P58" s="8"/>
      <c r="Q58" s="8"/>
      <c r="R58" s="8"/>
      <c r="S58" s="8"/>
      <c r="T58" s="8"/>
      <c r="U58" s="8"/>
      <c r="V58" s="8"/>
      <c r="W58" s="8"/>
      <c r="X58" s="8"/>
      <c r="Y58" s="8"/>
      <c r="Z58" s="8"/>
      <c r="AA58" s="8"/>
      <c r="AB58" s="8"/>
      <c r="AC58" s="8"/>
      <c r="AD58" s="8"/>
      <c r="AE58" s="8"/>
      <c r="AF58" s="8"/>
      <c r="AG58" s="8"/>
      <c r="AH58" s="8"/>
      <c r="AI58" s="8"/>
    </row>
    <row r="59" spans="1:35" hidden="1" x14ac:dyDescent="0.2">
      <c r="A59" s="8"/>
      <c r="B59" s="8"/>
      <c r="C59" s="8"/>
      <c r="D59" s="8"/>
      <c r="E59" s="8"/>
      <c r="F59" s="8"/>
      <c r="G59" s="129"/>
      <c r="H59" s="129"/>
      <c r="I59" s="130"/>
      <c r="J59" s="130"/>
      <c r="K59" s="115"/>
      <c r="L59" s="115"/>
      <c r="M59" s="7"/>
      <c r="N59" s="7"/>
      <c r="O59" s="118"/>
      <c r="P59" s="8"/>
      <c r="Q59" s="8"/>
      <c r="R59" s="8"/>
      <c r="S59" s="8"/>
      <c r="T59" s="8"/>
      <c r="U59" s="8"/>
      <c r="V59" s="8"/>
      <c r="W59" s="8"/>
      <c r="X59" s="8"/>
      <c r="Y59" s="8"/>
      <c r="Z59" s="8"/>
      <c r="AA59" s="8"/>
      <c r="AB59" s="8"/>
      <c r="AC59" s="8"/>
      <c r="AD59" s="8"/>
      <c r="AE59" s="8"/>
      <c r="AF59" s="8"/>
      <c r="AG59" s="8"/>
      <c r="AH59" s="8"/>
      <c r="AI59" s="8"/>
    </row>
    <row r="60" spans="1:35" hidden="1" x14ac:dyDescent="0.2">
      <c r="A60" s="8"/>
      <c r="B60" s="8"/>
      <c r="C60" s="8"/>
      <c r="D60" s="8"/>
      <c r="E60" s="8"/>
      <c r="F60" s="8"/>
      <c r="G60" s="129"/>
      <c r="H60" s="129"/>
      <c r="I60" s="130"/>
      <c r="J60" s="130"/>
      <c r="K60" s="115"/>
      <c r="L60" s="115"/>
      <c r="M60" s="7"/>
      <c r="N60" s="7"/>
      <c r="O60" s="118"/>
      <c r="P60" s="8"/>
      <c r="Q60" s="8"/>
      <c r="R60" s="8"/>
      <c r="S60" s="8"/>
      <c r="T60" s="8"/>
      <c r="U60" s="8"/>
      <c r="V60" s="8"/>
      <c r="W60" s="8"/>
      <c r="X60" s="8"/>
      <c r="Y60" s="8"/>
      <c r="Z60" s="8"/>
      <c r="AA60" s="8"/>
      <c r="AB60" s="8"/>
      <c r="AC60" s="8"/>
      <c r="AD60" s="8"/>
      <c r="AE60" s="8"/>
      <c r="AF60" s="8"/>
      <c r="AG60" s="8"/>
      <c r="AH60" s="8"/>
      <c r="AI60" s="8"/>
    </row>
    <row r="61" spans="1:35" hidden="1" x14ac:dyDescent="0.2">
      <c r="A61" s="8"/>
      <c r="B61" s="8"/>
      <c r="C61" s="8"/>
      <c r="D61" s="8"/>
      <c r="E61" s="8"/>
      <c r="F61" s="8"/>
      <c r="G61" s="129"/>
      <c r="H61" s="129"/>
      <c r="I61" s="130"/>
      <c r="J61" s="130"/>
      <c r="K61" s="115"/>
      <c r="L61" s="132"/>
      <c r="M61" s="7"/>
      <c r="N61" s="7"/>
      <c r="O61" s="118"/>
      <c r="P61" s="8"/>
      <c r="Q61" s="8"/>
      <c r="R61" s="8"/>
      <c r="S61" s="8"/>
      <c r="T61" s="8"/>
      <c r="U61" s="8"/>
      <c r="V61" s="8"/>
      <c r="W61" s="8"/>
      <c r="X61" s="8"/>
      <c r="Y61" s="8"/>
      <c r="Z61" s="8"/>
      <c r="AA61" s="8"/>
      <c r="AB61" s="8"/>
      <c r="AC61" s="8"/>
      <c r="AD61" s="8"/>
      <c r="AE61" s="8"/>
      <c r="AF61" s="8"/>
      <c r="AG61" s="8"/>
      <c r="AH61" s="8"/>
      <c r="AI61" s="8"/>
    </row>
    <row r="62" spans="1:35" hidden="1" x14ac:dyDescent="0.2">
      <c r="A62" s="8"/>
      <c r="B62" s="8"/>
      <c r="C62" s="8"/>
      <c r="D62" s="8"/>
      <c r="E62" s="8"/>
      <c r="F62" s="8"/>
      <c r="G62" s="6"/>
      <c r="H62" s="9"/>
      <c r="I62" s="133"/>
      <c r="J62" s="133"/>
      <c r="K62" s="115"/>
      <c r="L62" s="131"/>
      <c r="M62" s="7"/>
      <c r="N62" s="7"/>
      <c r="O62" s="118"/>
      <c r="P62" s="8"/>
      <c r="Q62" s="8"/>
      <c r="R62" s="8"/>
      <c r="S62" s="8"/>
      <c r="T62" s="8"/>
      <c r="U62" s="8"/>
      <c r="V62" s="8"/>
      <c r="W62" s="8"/>
      <c r="X62" s="8"/>
      <c r="Y62" s="8"/>
      <c r="Z62" s="8"/>
      <c r="AA62" s="8"/>
      <c r="AB62" s="8"/>
      <c r="AC62" s="8"/>
      <c r="AD62" s="8"/>
      <c r="AE62" s="8"/>
      <c r="AF62" s="8"/>
      <c r="AG62" s="8"/>
      <c r="AH62" s="8"/>
      <c r="AI62" s="8"/>
    </row>
    <row r="63" spans="1:35" hidden="1" x14ac:dyDescent="0.2">
      <c r="A63" s="8"/>
      <c r="B63" s="8"/>
      <c r="C63" s="8"/>
      <c r="D63" s="8"/>
      <c r="E63" s="8"/>
      <c r="F63" s="8"/>
      <c r="G63" s="118"/>
      <c r="H63" s="118"/>
      <c r="I63" s="118"/>
      <c r="J63" s="118"/>
      <c r="K63" s="118"/>
      <c r="L63" s="9"/>
      <c r="M63" s="7"/>
      <c r="N63" s="7"/>
      <c r="O63" s="118"/>
      <c r="P63" s="8"/>
      <c r="Q63" s="8"/>
      <c r="R63" s="8"/>
      <c r="S63" s="8"/>
      <c r="T63" s="8"/>
      <c r="U63" s="8"/>
      <c r="V63" s="8"/>
      <c r="W63" s="8"/>
      <c r="X63" s="8"/>
      <c r="Y63" s="8"/>
      <c r="Z63" s="8"/>
      <c r="AA63" s="8"/>
      <c r="AB63" s="8"/>
      <c r="AC63" s="8"/>
      <c r="AD63" s="8"/>
      <c r="AE63" s="8"/>
      <c r="AF63" s="8"/>
      <c r="AG63" s="8"/>
      <c r="AH63" s="8"/>
      <c r="AI63" s="8"/>
    </row>
    <row r="64" spans="1:35" ht="12.75" hidden="1" customHeight="1" x14ac:dyDescent="0.2">
      <c r="A64" s="8"/>
      <c r="B64" s="8"/>
      <c r="C64" s="8"/>
      <c r="D64" s="8"/>
      <c r="E64" s="8"/>
      <c r="F64" s="8"/>
      <c r="G64" s="119"/>
      <c r="H64" s="119"/>
      <c r="I64" s="119"/>
      <c r="J64" s="119"/>
      <c r="K64" s="9"/>
      <c r="L64" s="9"/>
      <c r="M64" s="7"/>
      <c r="N64" s="7"/>
      <c r="O64" s="118"/>
      <c r="P64" s="8"/>
      <c r="Q64" s="8"/>
      <c r="R64" s="8"/>
      <c r="S64" s="8"/>
      <c r="T64" s="8"/>
      <c r="U64" s="8"/>
      <c r="V64" s="8"/>
      <c r="W64" s="8"/>
      <c r="X64" s="8"/>
      <c r="Y64" s="8"/>
      <c r="Z64" s="8"/>
      <c r="AA64" s="8"/>
      <c r="AB64" s="8"/>
      <c r="AC64" s="8"/>
      <c r="AD64" s="8"/>
      <c r="AE64" s="8"/>
      <c r="AF64" s="8"/>
      <c r="AG64" s="8"/>
      <c r="AH64" s="8"/>
      <c r="AI64" s="8"/>
    </row>
    <row r="65" spans="1:35" hidden="1" x14ac:dyDescent="0.2">
      <c r="A65" s="8"/>
      <c r="B65" s="8"/>
      <c r="C65" s="8"/>
      <c r="D65" s="8"/>
      <c r="E65" s="8"/>
      <c r="F65" s="8"/>
      <c r="G65" s="119"/>
      <c r="H65" s="119"/>
      <c r="I65" s="119"/>
      <c r="J65" s="119"/>
      <c r="K65" s="9"/>
      <c r="L65" s="9"/>
      <c r="M65" s="7"/>
      <c r="N65" s="7"/>
      <c r="O65" s="118"/>
      <c r="P65" s="8"/>
      <c r="Q65" s="8"/>
      <c r="R65" s="8"/>
      <c r="S65" s="8"/>
      <c r="T65" s="8"/>
      <c r="U65" s="8"/>
      <c r="V65" s="8"/>
      <c r="W65" s="8"/>
      <c r="X65" s="8"/>
      <c r="Y65" s="8"/>
      <c r="Z65" s="8"/>
      <c r="AA65" s="8"/>
      <c r="AB65" s="8"/>
      <c r="AC65" s="8"/>
      <c r="AD65" s="8"/>
      <c r="AE65" s="8"/>
      <c r="AF65" s="8"/>
      <c r="AG65" s="8"/>
      <c r="AH65" s="8"/>
      <c r="AI65" s="8"/>
    </row>
    <row r="66" spans="1:35" ht="12.75" hidden="1" customHeight="1" x14ac:dyDescent="0.2">
      <c r="A66" s="8"/>
      <c r="B66" s="8"/>
      <c r="C66" s="8"/>
      <c r="D66" s="8"/>
      <c r="E66" s="8"/>
      <c r="F66" s="8"/>
      <c r="G66" s="124"/>
      <c r="H66" s="124"/>
      <c r="I66" s="119"/>
      <c r="J66" s="119"/>
      <c r="K66" s="134"/>
      <c r="L66" s="9"/>
      <c r="M66" s="7"/>
      <c r="N66" s="7"/>
      <c r="O66" s="118"/>
      <c r="P66" s="8"/>
      <c r="Q66" s="8"/>
      <c r="R66" s="8"/>
      <c r="S66" s="8"/>
      <c r="T66" s="8"/>
      <c r="U66" s="8"/>
      <c r="V66" s="8"/>
      <c r="W66" s="8"/>
      <c r="X66" s="8"/>
      <c r="Y66" s="8"/>
      <c r="Z66" s="8"/>
      <c r="AA66" s="8"/>
      <c r="AB66" s="8"/>
      <c r="AC66" s="8"/>
      <c r="AD66" s="8"/>
      <c r="AE66" s="8"/>
      <c r="AF66" s="8"/>
      <c r="AG66" s="8"/>
      <c r="AH66" s="8"/>
      <c r="AI66" s="8"/>
    </row>
    <row r="67" spans="1:35" hidden="1" x14ac:dyDescent="0.2">
      <c r="A67" s="8"/>
      <c r="B67" s="8"/>
      <c r="C67" s="8"/>
      <c r="D67" s="8"/>
      <c r="E67" s="8"/>
      <c r="F67" s="8"/>
      <c r="G67" s="6"/>
      <c r="H67" s="6"/>
      <c r="I67" s="130"/>
      <c r="J67" s="130"/>
      <c r="K67" s="131"/>
      <c r="L67" s="131"/>
      <c r="M67" s="7"/>
      <c r="N67" s="7"/>
      <c r="O67" s="118"/>
      <c r="P67" s="8"/>
      <c r="Q67" s="8"/>
      <c r="R67" s="8"/>
      <c r="S67" s="8"/>
      <c r="T67" s="8"/>
      <c r="U67" s="8"/>
      <c r="V67" s="8"/>
      <c r="W67" s="8"/>
      <c r="X67" s="8"/>
      <c r="Y67" s="8"/>
      <c r="Z67" s="8"/>
      <c r="AA67" s="8"/>
      <c r="AB67" s="8"/>
      <c r="AC67" s="8"/>
      <c r="AD67" s="8"/>
      <c r="AE67" s="8"/>
      <c r="AF67" s="8"/>
      <c r="AG67" s="8"/>
      <c r="AH67" s="8"/>
      <c r="AI67" s="8"/>
    </row>
    <row r="68" spans="1:35" hidden="1" x14ac:dyDescent="0.2">
      <c r="A68" s="8"/>
      <c r="B68" s="8"/>
      <c r="C68" s="8"/>
      <c r="D68" s="8"/>
      <c r="E68" s="8"/>
      <c r="F68" s="8"/>
      <c r="G68" s="6"/>
      <c r="H68" s="6"/>
      <c r="I68" s="130"/>
      <c r="J68" s="130"/>
      <c r="K68" s="135"/>
      <c r="L68" s="131"/>
      <c r="M68" s="7"/>
      <c r="N68" s="7"/>
      <c r="O68" s="118"/>
      <c r="P68" s="8"/>
      <c r="Q68" s="8"/>
      <c r="R68" s="8"/>
      <c r="S68" s="8"/>
      <c r="T68" s="8"/>
      <c r="U68" s="8"/>
      <c r="V68" s="8"/>
      <c r="W68" s="8"/>
      <c r="X68" s="8"/>
      <c r="Y68" s="8"/>
      <c r="Z68" s="8"/>
      <c r="AA68" s="8"/>
      <c r="AB68" s="8"/>
      <c r="AC68" s="8"/>
      <c r="AD68" s="8"/>
      <c r="AE68" s="8"/>
      <c r="AF68" s="8"/>
      <c r="AG68" s="8"/>
      <c r="AH68" s="8"/>
      <c r="AI68" s="8"/>
    </row>
    <row r="69" spans="1:35" hidden="1" x14ac:dyDescent="0.2">
      <c r="A69" s="8"/>
      <c r="B69" s="8"/>
      <c r="C69" s="8"/>
      <c r="D69" s="8"/>
      <c r="E69" s="8"/>
      <c r="F69" s="8"/>
      <c r="G69" s="6"/>
      <c r="H69" s="6"/>
      <c r="I69" s="130"/>
      <c r="J69" s="130"/>
      <c r="K69" s="135"/>
      <c r="L69" s="131"/>
      <c r="M69" s="7"/>
      <c r="N69" s="7"/>
      <c r="O69" s="118"/>
      <c r="P69" s="8"/>
      <c r="Q69" s="8"/>
      <c r="R69" s="8"/>
      <c r="S69" s="8"/>
      <c r="T69" s="8"/>
      <c r="U69" s="8"/>
      <c r="V69" s="8"/>
      <c r="W69" s="8"/>
      <c r="X69" s="8"/>
      <c r="Y69" s="8"/>
      <c r="Z69" s="8"/>
      <c r="AA69" s="8"/>
      <c r="AB69" s="8"/>
      <c r="AC69" s="8"/>
      <c r="AD69" s="8"/>
      <c r="AE69" s="8"/>
      <c r="AF69" s="8"/>
      <c r="AG69" s="8"/>
      <c r="AH69" s="8"/>
      <c r="AI69" s="8"/>
    </row>
    <row r="70" spans="1:35" hidden="1" x14ac:dyDescent="0.2">
      <c r="A70" s="8"/>
      <c r="B70" s="8"/>
      <c r="C70" s="8"/>
      <c r="D70" s="8"/>
      <c r="E70" s="8"/>
      <c r="F70" s="8"/>
      <c r="G70" s="6"/>
      <c r="H70" s="6"/>
      <c r="I70" s="130"/>
      <c r="J70" s="130"/>
      <c r="K70" s="135"/>
      <c r="L70" s="131"/>
      <c r="M70" s="7"/>
      <c r="N70" s="7"/>
      <c r="O70" s="118"/>
      <c r="P70" s="8"/>
      <c r="Q70" s="8"/>
      <c r="R70" s="8"/>
      <c r="S70" s="8"/>
      <c r="T70" s="8"/>
      <c r="U70" s="8"/>
      <c r="V70" s="8"/>
      <c r="W70" s="8"/>
      <c r="X70" s="8"/>
      <c r="Y70" s="8"/>
      <c r="Z70" s="8"/>
      <c r="AA70" s="8"/>
      <c r="AB70" s="8"/>
      <c r="AC70" s="8"/>
      <c r="AD70" s="8"/>
      <c r="AE70" s="8"/>
      <c r="AF70" s="8"/>
      <c r="AG70" s="8"/>
      <c r="AH70" s="8"/>
      <c r="AI70" s="8"/>
    </row>
    <row r="71" spans="1:35" hidden="1" x14ac:dyDescent="0.2">
      <c r="A71" s="8"/>
      <c r="B71" s="8"/>
      <c r="C71" s="8"/>
      <c r="D71" s="8"/>
      <c r="E71" s="8"/>
      <c r="F71" s="8"/>
      <c r="G71" s="6"/>
      <c r="H71" s="6"/>
      <c r="I71" s="130"/>
      <c r="J71" s="130"/>
      <c r="K71" s="135"/>
      <c r="L71" s="131"/>
      <c r="M71" s="7"/>
      <c r="N71" s="7"/>
      <c r="O71" s="118"/>
      <c r="P71" s="8"/>
      <c r="Q71" s="8"/>
      <c r="R71" s="8"/>
      <c r="S71" s="8"/>
      <c r="T71" s="8"/>
      <c r="U71" s="8"/>
      <c r="V71" s="8"/>
      <c r="W71" s="8"/>
      <c r="X71" s="8"/>
      <c r="Y71" s="8"/>
      <c r="Z71" s="8"/>
      <c r="AA71" s="8"/>
      <c r="AB71" s="8"/>
      <c r="AC71" s="8"/>
      <c r="AD71" s="8"/>
      <c r="AE71" s="8"/>
      <c r="AF71" s="8"/>
      <c r="AG71" s="8"/>
      <c r="AH71" s="8"/>
      <c r="AI71" s="8"/>
    </row>
    <row r="72" spans="1:35" hidden="1" x14ac:dyDescent="0.2">
      <c r="A72" s="8"/>
      <c r="B72" s="8"/>
      <c r="C72" s="8"/>
      <c r="D72" s="8"/>
      <c r="E72" s="8"/>
      <c r="F72" s="8"/>
      <c r="G72" s="6"/>
      <c r="H72" s="6"/>
      <c r="I72" s="130"/>
      <c r="J72" s="130"/>
      <c r="K72" s="135"/>
      <c r="L72" s="131"/>
      <c r="M72" s="7"/>
      <c r="N72" s="7"/>
      <c r="O72" s="118"/>
      <c r="P72" s="8"/>
      <c r="Q72" s="8"/>
      <c r="R72" s="8"/>
      <c r="S72" s="8"/>
      <c r="T72" s="8"/>
      <c r="U72" s="8"/>
      <c r="V72" s="8"/>
      <c r="W72" s="8"/>
      <c r="X72" s="8"/>
      <c r="Y72" s="8"/>
      <c r="Z72" s="8"/>
      <c r="AA72" s="8"/>
      <c r="AB72" s="8"/>
      <c r="AC72" s="8"/>
      <c r="AD72" s="8"/>
      <c r="AE72" s="8"/>
      <c r="AF72" s="8"/>
      <c r="AG72" s="8"/>
      <c r="AH72" s="8"/>
      <c r="AI72" s="8"/>
    </row>
    <row r="73" spans="1:35" hidden="1" x14ac:dyDescent="0.2">
      <c r="A73" s="8"/>
      <c r="B73" s="8"/>
      <c r="C73" s="8"/>
      <c r="D73" s="8"/>
      <c r="E73" s="8"/>
      <c r="F73" s="8"/>
      <c r="G73" s="6"/>
      <c r="H73" s="6"/>
      <c r="I73" s="133"/>
      <c r="J73" s="133"/>
      <c r="K73" s="135"/>
      <c r="L73" s="131"/>
      <c r="M73" s="7"/>
      <c r="N73" s="7"/>
      <c r="O73" s="118"/>
      <c r="P73" s="8"/>
      <c r="Q73" s="8"/>
      <c r="R73" s="8"/>
      <c r="S73" s="8"/>
      <c r="T73" s="8"/>
      <c r="U73" s="8"/>
      <c r="V73" s="8"/>
      <c r="W73" s="8"/>
      <c r="X73" s="8"/>
      <c r="Y73" s="8"/>
      <c r="Z73" s="8"/>
      <c r="AA73" s="8"/>
      <c r="AB73" s="8"/>
      <c r="AC73" s="8"/>
      <c r="AD73" s="8"/>
      <c r="AE73" s="8"/>
      <c r="AF73" s="8"/>
      <c r="AG73" s="8"/>
      <c r="AH73" s="8"/>
      <c r="AI73" s="8"/>
    </row>
    <row r="74" spans="1:35" hidden="1" x14ac:dyDescent="0.2">
      <c r="A74" s="8"/>
      <c r="B74" s="8"/>
      <c r="C74" s="8"/>
      <c r="D74" s="8"/>
      <c r="E74" s="8"/>
      <c r="F74" s="8"/>
      <c r="G74" s="118"/>
      <c r="H74" s="118"/>
      <c r="I74" s="118"/>
      <c r="J74" s="118"/>
      <c r="K74" s="136"/>
      <c r="L74" s="131"/>
      <c r="M74" s="7"/>
      <c r="N74" s="7"/>
      <c r="O74" s="118"/>
      <c r="P74" s="8"/>
      <c r="Q74" s="8"/>
      <c r="R74" s="8"/>
      <c r="S74" s="8"/>
      <c r="T74" s="8"/>
      <c r="U74" s="8"/>
      <c r="V74" s="8"/>
      <c r="W74" s="8"/>
      <c r="X74" s="8"/>
      <c r="Y74" s="8"/>
      <c r="Z74" s="8"/>
      <c r="AA74" s="8"/>
      <c r="AB74" s="8"/>
      <c r="AC74" s="8"/>
      <c r="AD74" s="8"/>
      <c r="AE74" s="8"/>
      <c r="AF74" s="8"/>
      <c r="AG74" s="8"/>
      <c r="AH74" s="8"/>
      <c r="AI74" s="8"/>
    </row>
    <row r="75" spans="1:35" hidden="1" x14ac:dyDescent="0.2">
      <c r="A75" s="8"/>
      <c r="B75" s="8"/>
      <c r="C75" s="8"/>
      <c r="D75" s="8"/>
      <c r="E75" s="8"/>
      <c r="F75" s="8"/>
      <c r="G75" s="118"/>
      <c r="H75" s="118"/>
      <c r="I75" s="118"/>
      <c r="J75" s="118"/>
      <c r="K75" s="118"/>
      <c r="L75" s="137"/>
      <c r="M75" s="7"/>
      <c r="N75" s="7"/>
      <c r="O75" s="118"/>
      <c r="P75" s="8"/>
      <c r="Q75" s="8"/>
      <c r="R75" s="8"/>
      <c r="S75" s="8"/>
      <c r="T75" s="8"/>
      <c r="U75" s="8"/>
      <c r="V75" s="8"/>
      <c r="W75" s="8"/>
      <c r="X75" s="8"/>
      <c r="Y75" s="8"/>
      <c r="Z75" s="8"/>
      <c r="AA75" s="8"/>
      <c r="AB75" s="8"/>
      <c r="AC75" s="8"/>
      <c r="AD75" s="8"/>
      <c r="AE75" s="8"/>
      <c r="AF75" s="8"/>
      <c r="AG75" s="8"/>
      <c r="AH75" s="8"/>
      <c r="AI75" s="8"/>
    </row>
    <row r="76" spans="1:35" hidden="1" x14ac:dyDescent="0.2">
      <c r="A76" s="8"/>
      <c r="B76" s="8"/>
      <c r="C76" s="8"/>
      <c r="D76" s="8"/>
      <c r="E76" s="8"/>
      <c r="F76" s="8"/>
      <c r="G76" s="118"/>
      <c r="H76" s="125"/>
      <c r="I76" s="125"/>
      <c r="J76" s="9"/>
      <c r="K76" s="9"/>
      <c r="L76" s="138"/>
      <c r="M76" s="128"/>
      <c r="N76" s="7"/>
      <c r="O76" s="118"/>
      <c r="P76" s="8"/>
      <c r="Q76" s="8"/>
      <c r="R76" s="8"/>
      <c r="S76" s="8"/>
      <c r="T76" s="8"/>
      <c r="U76" s="8"/>
      <c r="V76" s="8"/>
      <c r="W76" s="8"/>
      <c r="X76" s="8"/>
      <c r="Y76" s="8"/>
      <c r="Z76" s="8"/>
      <c r="AA76" s="8"/>
      <c r="AB76" s="8"/>
      <c r="AC76" s="8"/>
      <c r="AD76" s="8"/>
      <c r="AE76" s="8"/>
      <c r="AF76" s="8"/>
      <c r="AG76" s="8"/>
      <c r="AH76" s="8"/>
      <c r="AI76" s="8"/>
    </row>
    <row r="77" spans="1:35" hidden="1" x14ac:dyDescent="0.2">
      <c r="A77" s="8"/>
      <c r="B77" s="8"/>
      <c r="C77" s="8"/>
      <c r="D77" s="8"/>
      <c r="E77" s="8"/>
      <c r="F77" s="8"/>
      <c r="G77" s="139"/>
      <c r="H77" s="139"/>
      <c r="I77" s="126"/>
      <c r="J77" s="127"/>
      <c r="K77" s="140"/>
      <c r="L77" s="138"/>
      <c r="M77" s="122"/>
      <c r="N77" s="141"/>
      <c r="O77" s="115"/>
      <c r="P77" s="8"/>
      <c r="Q77" s="8"/>
      <c r="R77" s="8"/>
      <c r="S77" s="8"/>
      <c r="T77" s="8"/>
      <c r="U77" s="8"/>
      <c r="V77" s="8"/>
      <c r="W77" s="8"/>
      <c r="X77" s="8"/>
      <c r="Y77" s="8"/>
      <c r="Z77" s="8"/>
      <c r="AA77" s="8"/>
      <c r="AB77" s="8"/>
      <c r="AC77" s="8"/>
      <c r="AD77" s="8"/>
      <c r="AE77" s="8"/>
      <c r="AF77" s="8"/>
      <c r="AG77" s="8"/>
      <c r="AH77" s="8"/>
      <c r="AI77" s="8"/>
    </row>
    <row r="78" spans="1:35" hidden="1" x14ac:dyDescent="0.2">
      <c r="A78" s="8"/>
      <c r="B78" s="8"/>
      <c r="C78" s="8"/>
      <c r="D78" s="8"/>
      <c r="E78" s="8"/>
      <c r="F78" s="8"/>
      <c r="G78" s="142"/>
      <c r="H78" s="142"/>
      <c r="I78" s="143"/>
      <c r="J78" s="143"/>
      <c r="K78" s="144"/>
      <c r="L78" s="138"/>
      <c r="M78" s="122"/>
      <c r="N78" s="133"/>
      <c r="O78" s="115"/>
      <c r="P78" s="8"/>
      <c r="Q78" s="8"/>
      <c r="R78" s="8"/>
      <c r="S78" s="8"/>
      <c r="T78" s="8"/>
      <c r="U78" s="8"/>
      <c r="V78" s="8"/>
      <c r="W78" s="8"/>
      <c r="X78" s="8"/>
      <c r="Y78" s="8"/>
      <c r="Z78" s="8"/>
      <c r="AA78" s="8"/>
      <c r="AB78" s="8"/>
      <c r="AC78" s="8"/>
      <c r="AD78" s="8"/>
      <c r="AE78" s="8"/>
      <c r="AF78" s="8"/>
      <c r="AG78" s="8"/>
      <c r="AH78" s="8"/>
      <c r="AI78" s="8"/>
    </row>
    <row r="79" spans="1:35" hidden="1" x14ac:dyDescent="0.2">
      <c r="A79" s="8"/>
      <c r="B79" s="8"/>
      <c r="C79" s="8"/>
      <c r="D79" s="8"/>
      <c r="E79" s="8"/>
      <c r="F79" s="8"/>
      <c r="G79" s="115"/>
      <c r="H79" s="115"/>
      <c r="I79" s="115"/>
      <c r="J79" s="115"/>
      <c r="K79" s="115"/>
      <c r="L79" s="115"/>
      <c r="M79" s="115"/>
      <c r="N79" s="115"/>
      <c r="O79" s="115"/>
      <c r="P79" s="8"/>
      <c r="Q79" s="8"/>
      <c r="R79" s="8"/>
      <c r="S79" s="8"/>
      <c r="T79" s="8"/>
      <c r="U79" s="8"/>
      <c r="V79" s="8"/>
      <c r="W79" s="8"/>
      <c r="X79" s="8"/>
      <c r="Y79" s="8"/>
      <c r="Z79" s="8"/>
      <c r="AA79" s="8"/>
      <c r="AB79" s="8"/>
      <c r="AC79" s="8"/>
      <c r="AD79" s="8"/>
      <c r="AE79" s="8"/>
      <c r="AF79" s="8"/>
      <c r="AG79" s="8"/>
      <c r="AH79" s="8"/>
      <c r="AI79" s="8"/>
    </row>
    <row r="80" spans="1:35" hidden="1" x14ac:dyDescent="0.2">
      <c r="A80" s="8"/>
      <c r="B80" s="8"/>
      <c r="C80" s="8"/>
      <c r="D80" s="8"/>
      <c r="E80" s="8"/>
      <c r="F80" s="8"/>
      <c r="G80" s="115"/>
      <c r="H80" s="115"/>
      <c r="I80" s="115"/>
      <c r="J80" s="115"/>
      <c r="K80" s="115"/>
      <c r="L80" s="115"/>
      <c r="M80" s="115"/>
      <c r="N80" s="115"/>
      <c r="O80" s="115"/>
      <c r="P80" s="8"/>
      <c r="Q80" s="8"/>
      <c r="R80" s="8"/>
      <c r="S80" s="8"/>
      <c r="T80" s="8"/>
      <c r="U80" s="8"/>
      <c r="V80" s="8"/>
      <c r="W80" s="8"/>
      <c r="X80" s="8"/>
      <c r="Y80" s="8"/>
      <c r="Z80" s="8"/>
      <c r="AA80" s="8"/>
      <c r="AB80" s="8"/>
      <c r="AC80" s="8"/>
      <c r="AD80" s="8"/>
      <c r="AE80" s="8"/>
      <c r="AF80" s="8"/>
      <c r="AG80" s="8"/>
      <c r="AH80" s="8"/>
      <c r="AI80" s="8"/>
    </row>
    <row r="81" spans="1:35" hidden="1" x14ac:dyDescent="0.2">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row>
    <row r="82" spans="1:35" hidden="1" x14ac:dyDescent="0.2">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row>
    <row r="83" spans="1:35" hidden="1" x14ac:dyDescent="0.2">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row>
    <row r="84" spans="1:35" hidden="1" x14ac:dyDescent="0.2">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row>
    <row r="85" spans="1:35" hidden="1" x14ac:dyDescent="0.2">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row>
    <row r="86" spans="1:35" hidden="1" x14ac:dyDescent="0.2">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row>
    <row r="87" spans="1:35" hidden="1" x14ac:dyDescent="0.2">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row>
    <row r="88" spans="1:35" hidden="1" x14ac:dyDescent="0.2">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row>
    <row r="89" spans="1:35" hidden="1" x14ac:dyDescent="0.2">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row>
    <row r="90" spans="1:35" hidden="1" x14ac:dyDescent="0.2">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row>
    <row r="91" spans="1:35" hidden="1" x14ac:dyDescent="0.2">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row>
    <row r="92" spans="1:35" hidden="1" x14ac:dyDescent="0.2">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row>
    <row r="93" spans="1:35" hidden="1" x14ac:dyDescent="0.2">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row>
    <row r="94" spans="1:35" hidden="1" x14ac:dyDescent="0.2">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row>
    <row r="95" spans="1:35" hidden="1" x14ac:dyDescent="0.2">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row>
    <row r="96" spans="1:35" hidden="1" x14ac:dyDescent="0.2">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row>
    <row r="97" spans="1:35" hidden="1" x14ac:dyDescent="0.2">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row>
    <row r="98" spans="1:35" hidden="1" x14ac:dyDescent="0.2">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row>
    <row r="99" spans="1:35" hidden="1" x14ac:dyDescent="0.2">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row>
    <row r="100" spans="1:35" hidden="1" x14ac:dyDescent="0.2">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row>
    <row r="101" spans="1:35" hidden="1" x14ac:dyDescent="0.2">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row>
    <row r="102" spans="1:35" hidden="1" x14ac:dyDescent="0.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row>
    <row r="103" spans="1:35" hidden="1" x14ac:dyDescent="0.2">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row>
    <row r="104" spans="1:35" hidden="1" x14ac:dyDescent="0.2">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row>
    <row r="105" spans="1:35" hidden="1" x14ac:dyDescent="0.2">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row>
    <row r="106" spans="1:35" hidden="1" x14ac:dyDescent="0.2">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row>
    <row r="107" spans="1:35" hidden="1" x14ac:dyDescent="0.2">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row>
    <row r="108" spans="1:35" hidden="1" x14ac:dyDescent="0.2">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row>
    <row r="109" spans="1:35" hidden="1" x14ac:dyDescent="0.2">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row>
    <row r="110" spans="1:35" hidden="1" x14ac:dyDescent="0.2">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row>
    <row r="111" spans="1:35" hidden="1" x14ac:dyDescent="0.2">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row>
    <row r="112" spans="1:35" hidden="1" x14ac:dyDescent="0.2">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row>
    <row r="113" spans="1:35" hidden="1" x14ac:dyDescent="0.2">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row>
    <row r="114" spans="1:35" hidden="1" x14ac:dyDescent="0.2">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row>
    <row r="115" spans="1:35" hidden="1" x14ac:dyDescent="0.2">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row>
    <row r="116" spans="1:35" hidden="1" x14ac:dyDescent="0.2">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row>
    <row r="117" spans="1:35" hidden="1" x14ac:dyDescent="0.2">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row>
    <row r="118" spans="1:35" hidden="1" x14ac:dyDescent="0.2">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row>
    <row r="119" spans="1:35" hidden="1" x14ac:dyDescent="0.2">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row>
    <row r="120" spans="1:35" hidden="1" x14ac:dyDescent="0.2">
      <c r="T120" s="8"/>
      <c r="U120" s="8"/>
      <c r="V120" s="8"/>
      <c r="W120" s="8"/>
      <c r="X120" s="8"/>
      <c r="Y120" s="8"/>
      <c r="Z120" s="8"/>
      <c r="AA120" s="8"/>
      <c r="AB120" s="8"/>
      <c r="AC120" s="8"/>
      <c r="AD120" s="8"/>
      <c r="AE120" s="8"/>
      <c r="AF120" s="8"/>
      <c r="AG120" s="8"/>
      <c r="AH120" s="8"/>
      <c r="AI120" s="8"/>
    </row>
    <row r="121" spans="1:35" hidden="1" x14ac:dyDescent="0.2">
      <c r="T121" s="8"/>
      <c r="U121" s="8"/>
      <c r="V121" s="8"/>
      <c r="W121" s="8"/>
      <c r="X121" s="8"/>
      <c r="Y121" s="8"/>
      <c r="Z121" s="8"/>
      <c r="AA121" s="8"/>
      <c r="AB121" s="8"/>
      <c r="AC121" s="8"/>
      <c r="AD121" s="8"/>
      <c r="AE121" s="8"/>
      <c r="AF121" s="8"/>
      <c r="AG121" s="8"/>
      <c r="AH121" s="8"/>
      <c r="AI121" s="8"/>
    </row>
    <row r="122" spans="1:35" hidden="1" x14ac:dyDescent="0.2">
      <c r="T122" s="8"/>
      <c r="U122" s="8"/>
      <c r="V122" s="8"/>
      <c r="W122" s="8"/>
      <c r="X122" s="8"/>
      <c r="Y122" s="8"/>
      <c r="Z122" s="8"/>
      <c r="AA122" s="8"/>
      <c r="AB122" s="8"/>
      <c r="AC122" s="8"/>
      <c r="AD122" s="8"/>
      <c r="AE122" s="8"/>
      <c r="AF122" s="8"/>
      <c r="AG122" s="8"/>
      <c r="AH122" s="8"/>
      <c r="AI122" s="8"/>
    </row>
    <row r="123" spans="1:35" hidden="1" x14ac:dyDescent="0.2">
      <c r="T123" s="8"/>
      <c r="U123" s="8"/>
      <c r="V123" s="8"/>
      <c r="W123" s="8"/>
      <c r="X123" s="8"/>
      <c r="Y123" s="8"/>
      <c r="Z123" s="8"/>
      <c r="AA123" s="8"/>
      <c r="AB123" s="8"/>
      <c r="AC123" s="8"/>
      <c r="AD123" s="8"/>
      <c r="AE123" s="8"/>
      <c r="AF123" s="8"/>
      <c r="AG123" s="8"/>
      <c r="AH123" s="8"/>
      <c r="AI123" s="8"/>
    </row>
    <row r="124" spans="1:35" hidden="1" x14ac:dyDescent="0.2">
      <c r="T124" s="8"/>
      <c r="U124" s="8"/>
      <c r="V124" s="8"/>
      <c r="W124" s="8"/>
      <c r="X124" s="8"/>
      <c r="Y124" s="8"/>
      <c r="Z124" s="8"/>
      <c r="AA124" s="8"/>
      <c r="AB124" s="8"/>
      <c r="AC124" s="8"/>
      <c r="AD124" s="8"/>
      <c r="AE124" s="8"/>
      <c r="AF124" s="8"/>
      <c r="AG124" s="8"/>
      <c r="AH124" s="8"/>
      <c r="AI124" s="8"/>
    </row>
    <row r="125" spans="1:35" hidden="1" x14ac:dyDescent="0.2">
      <c r="T125" s="8"/>
      <c r="U125" s="8"/>
      <c r="V125" s="8"/>
      <c r="W125" s="8"/>
      <c r="X125" s="8"/>
      <c r="Y125" s="8"/>
      <c r="Z125" s="8"/>
      <c r="AA125" s="8"/>
      <c r="AB125" s="8"/>
      <c r="AC125" s="8"/>
      <c r="AD125" s="8"/>
      <c r="AE125" s="8"/>
      <c r="AF125" s="8"/>
      <c r="AG125" s="8"/>
      <c r="AH125" s="8"/>
      <c r="AI125" s="8"/>
    </row>
    <row r="126" spans="1:35" hidden="1" x14ac:dyDescent="0.2">
      <c r="T126" s="8"/>
      <c r="U126" s="8"/>
      <c r="V126" s="8"/>
      <c r="W126" s="8"/>
      <c r="X126" s="8"/>
      <c r="Y126" s="8"/>
      <c r="Z126" s="8"/>
      <c r="AA126" s="8"/>
      <c r="AB126" s="8"/>
      <c r="AC126" s="8"/>
      <c r="AD126" s="8"/>
      <c r="AE126" s="8"/>
      <c r="AF126" s="8"/>
      <c r="AG126" s="8"/>
      <c r="AH126" s="8"/>
      <c r="AI126" s="8"/>
    </row>
    <row r="127" spans="1:35" hidden="1" x14ac:dyDescent="0.2">
      <c r="T127" s="8"/>
      <c r="U127" s="8"/>
      <c r="V127" s="8"/>
      <c r="W127" s="8"/>
      <c r="X127" s="8"/>
      <c r="Y127" s="8"/>
      <c r="Z127" s="8"/>
      <c r="AA127" s="8"/>
      <c r="AB127" s="8"/>
      <c r="AC127" s="8"/>
      <c r="AD127" s="8"/>
      <c r="AE127" s="8"/>
      <c r="AF127" s="8"/>
      <c r="AG127" s="8"/>
      <c r="AH127" s="8"/>
      <c r="AI127" s="8"/>
    </row>
    <row r="128" spans="1:35" hidden="1" x14ac:dyDescent="0.2">
      <c r="T128" s="8"/>
      <c r="U128" s="8"/>
      <c r="V128" s="8"/>
      <c r="W128" s="8"/>
      <c r="X128" s="8"/>
      <c r="Y128" s="8"/>
      <c r="Z128" s="8"/>
      <c r="AA128" s="8"/>
      <c r="AB128" s="8"/>
      <c r="AC128" s="8"/>
      <c r="AD128" s="8"/>
      <c r="AE128" s="8"/>
      <c r="AF128" s="8"/>
      <c r="AG128" s="8"/>
      <c r="AH128" s="8"/>
      <c r="AI128" s="8"/>
    </row>
    <row r="129" spans="20:35" hidden="1" x14ac:dyDescent="0.2">
      <c r="T129" s="8"/>
      <c r="U129" s="8"/>
      <c r="V129" s="8"/>
      <c r="W129" s="8"/>
      <c r="X129" s="8"/>
      <c r="Y129" s="8"/>
      <c r="Z129" s="8"/>
      <c r="AA129" s="8"/>
      <c r="AB129" s="8"/>
      <c r="AC129" s="8"/>
      <c r="AD129" s="8"/>
      <c r="AE129" s="8"/>
      <c r="AF129" s="8"/>
      <c r="AG129" s="8"/>
      <c r="AH129" s="8"/>
      <c r="AI129" s="8"/>
    </row>
    <row r="130" spans="20:35" hidden="1" x14ac:dyDescent="0.2">
      <c r="T130" s="8"/>
      <c r="U130" s="8"/>
      <c r="V130" s="8"/>
      <c r="W130" s="8"/>
      <c r="X130" s="8"/>
      <c r="Y130" s="8"/>
      <c r="Z130" s="8"/>
      <c r="AA130" s="8"/>
      <c r="AB130" s="8"/>
      <c r="AC130" s="8"/>
      <c r="AD130" s="8"/>
      <c r="AE130" s="8"/>
      <c r="AF130" s="8"/>
      <c r="AG130" s="8"/>
      <c r="AH130" s="8"/>
      <c r="AI130" s="8"/>
    </row>
    <row r="131" spans="20:35" hidden="1" x14ac:dyDescent="0.2">
      <c r="T131" s="8"/>
      <c r="U131" s="8"/>
      <c r="V131" s="8"/>
      <c r="W131" s="8"/>
      <c r="X131" s="8"/>
      <c r="Y131" s="8"/>
      <c r="Z131" s="8"/>
      <c r="AA131" s="8"/>
      <c r="AB131" s="8"/>
      <c r="AC131" s="8"/>
      <c r="AD131" s="8"/>
      <c r="AE131" s="8"/>
      <c r="AF131" s="8"/>
      <c r="AG131" s="8"/>
      <c r="AH131" s="8"/>
      <c r="AI131" s="8"/>
    </row>
    <row r="132" spans="20:35" hidden="1" x14ac:dyDescent="0.2">
      <c r="T132" s="8"/>
      <c r="U132" s="8"/>
      <c r="V132" s="8"/>
      <c r="W132" s="8"/>
      <c r="X132" s="8"/>
      <c r="Y132" s="8"/>
      <c r="Z132" s="8"/>
      <c r="AA132" s="8"/>
      <c r="AB132" s="8"/>
      <c r="AC132" s="8"/>
      <c r="AD132" s="8"/>
      <c r="AE132" s="8"/>
      <c r="AF132" s="8"/>
      <c r="AG132" s="8"/>
      <c r="AH132" s="8"/>
      <c r="AI132" s="8"/>
    </row>
    <row r="133" spans="20:35" hidden="1" x14ac:dyDescent="0.2">
      <c r="T133" s="8"/>
      <c r="U133" s="8"/>
      <c r="V133" s="8"/>
      <c r="W133" s="8"/>
      <c r="X133" s="8"/>
      <c r="Y133" s="8"/>
      <c r="Z133" s="8"/>
      <c r="AA133" s="8"/>
      <c r="AB133" s="8"/>
      <c r="AC133" s="8"/>
      <c r="AD133" s="8"/>
      <c r="AE133" s="8"/>
      <c r="AF133" s="8"/>
      <c r="AG133" s="8"/>
      <c r="AH133" s="8"/>
      <c r="AI133" s="8"/>
    </row>
    <row r="134" spans="20:35" hidden="1" x14ac:dyDescent="0.2">
      <c r="T134" s="8"/>
      <c r="U134" s="8"/>
      <c r="V134" s="8"/>
      <c r="W134" s="8"/>
      <c r="X134" s="8"/>
      <c r="Y134" s="8"/>
      <c r="Z134" s="8"/>
      <c r="AA134" s="8"/>
      <c r="AB134" s="8"/>
      <c r="AC134" s="8"/>
      <c r="AD134" s="8"/>
      <c r="AE134" s="8"/>
      <c r="AF134" s="8"/>
      <c r="AG134" s="8"/>
      <c r="AH134" s="8"/>
      <c r="AI134" s="8"/>
    </row>
    <row r="135" spans="20:35" hidden="1" x14ac:dyDescent="0.2">
      <c r="T135" s="8"/>
      <c r="U135" s="8"/>
      <c r="V135" s="8"/>
      <c r="W135" s="8"/>
      <c r="X135" s="8"/>
      <c r="Y135" s="8"/>
      <c r="Z135" s="8"/>
      <c r="AA135" s="8"/>
      <c r="AB135" s="8"/>
      <c r="AC135" s="8"/>
      <c r="AD135" s="8"/>
      <c r="AE135" s="8"/>
      <c r="AF135" s="8"/>
      <c r="AG135" s="8"/>
      <c r="AH135" s="8"/>
      <c r="AI135" s="8"/>
    </row>
    <row r="136" spans="20:35" hidden="1" x14ac:dyDescent="0.2">
      <c r="T136" s="8"/>
      <c r="U136" s="8"/>
      <c r="V136" s="8"/>
      <c r="W136" s="8"/>
      <c r="X136" s="8"/>
      <c r="Y136" s="8"/>
      <c r="Z136" s="8"/>
      <c r="AA136" s="8"/>
      <c r="AB136" s="8"/>
      <c r="AC136" s="8"/>
      <c r="AD136" s="8"/>
      <c r="AE136" s="8"/>
      <c r="AF136" s="8"/>
      <c r="AG136" s="8"/>
      <c r="AH136" s="8"/>
      <c r="AI136" s="8"/>
    </row>
    <row r="137" spans="20:35" hidden="1" x14ac:dyDescent="0.2">
      <c r="T137" s="8"/>
      <c r="U137" s="8"/>
      <c r="V137" s="8"/>
      <c r="W137" s="8"/>
      <c r="X137" s="8"/>
      <c r="Y137" s="8"/>
      <c r="Z137" s="8"/>
      <c r="AA137" s="8"/>
      <c r="AB137" s="8"/>
      <c r="AC137" s="8"/>
      <c r="AD137" s="8"/>
      <c r="AE137" s="8"/>
      <c r="AF137" s="8"/>
      <c r="AG137" s="8"/>
      <c r="AH137" s="8"/>
      <c r="AI137" s="8"/>
    </row>
    <row r="138" spans="20:35" hidden="1" x14ac:dyDescent="0.2">
      <c r="T138" s="8"/>
      <c r="U138" s="8"/>
      <c r="V138" s="8"/>
      <c r="W138" s="8"/>
      <c r="X138" s="8"/>
      <c r="Y138" s="8"/>
      <c r="Z138" s="8"/>
      <c r="AA138" s="8"/>
      <c r="AB138" s="8"/>
      <c r="AC138" s="8"/>
      <c r="AD138" s="8"/>
      <c r="AE138" s="8"/>
      <c r="AF138" s="8"/>
      <c r="AG138" s="8"/>
      <c r="AH138" s="8"/>
      <c r="AI138" s="8"/>
    </row>
    <row r="139" spans="20:35" hidden="1" x14ac:dyDescent="0.2">
      <c r="T139" s="8"/>
      <c r="U139" s="8"/>
      <c r="V139" s="8"/>
      <c r="W139" s="8"/>
      <c r="X139" s="8"/>
      <c r="Y139" s="8"/>
      <c r="Z139" s="8"/>
      <c r="AA139" s="8"/>
      <c r="AB139" s="8"/>
      <c r="AC139" s="8"/>
      <c r="AD139" s="8"/>
      <c r="AE139" s="8"/>
      <c r="AF139" s="8"/>
      <c r="AG139" s="8"/>
      <c r="AH139" s="8"/>
      <c r="AI139" s="8"/>
    </row>
    <row r="140" spans="20:35" hidden="1" x14ac:dyDescent="0.2">
      <c r="T140" s="8"/>
      <c r="U140" s="8"/>
      <c r="V140" s="8"/>
      <c r="W140" s="8"/>
      <c r="X140" s="8"/>
      <c r="Y140" s="8"/>
      <c r="Z140" s="8"/>
      <c r="AA140" s="8"/>
      <c r="AB140" s="8"/>
      <c r="AC140" s="8"/>
      <c r="AD140" s="8"/>
      <c r="AE140" s="8"/>
      <c r="AF140" s="8"/>
      <c r="AG140" s="8"/>
      <c r="AH140" s="8"/>
      <c r="AI140" s="8"/>
    </row>
    <row r="141" spans="20:35" hidden="1" x14ac:dyDescent="0.2">
      <c r="T141" s="8"/>
      <c r="U141" s="8"/>
      <c r="V141" s="8"/>
      <c r="W141" s="8"/>
      <c r="X141" s="8"/>
      <c r="Y141" s="8"/>
      <c r="Z141" s="8"/>
      <c r="AA141" s="8"/>
      <c r="AB141" s="8"/>
      <c r="AC141" s="8"/>
      <c r="AD141" s="8"/>
      <c r="AE141" s="8"/>
      <c r="AF141" s="8"/>
      <c r="AG141" s="8"/>
      <c r="AH141" s="8"/>
      <c r="AI141" s="8"/>
    </row>
    <row r="142" spans="20:35" hidden="1" x14ac:dyDescent="0.2">
      <c r="T142" s="8"/>
      <c r="U142" s="8"/>
      <c r="V142" s="8"/>
      <c r="W142" s="8"/>
      <c r="X142" s="8"/>
      <c r="Y142" s="8"/>
      <c r="Z142" s="8"/>
      <c r="AA142" s="8"/>
      <c r="AB142" s="8"/>
      <c r="AC142" s="8"/>
      <c r="AD142" s="8"/>
      <c r="AE142" s="8"/>
      <c r="AF142" s="8"/>
      <c r="AG142" s="8"/>
      <c r="AH142" s="8"/>
      <c r="AI142" s="8"/>
    </row>
    <row r="143" spans="20:35" hidden="1" x14ac:dyDescent="0.2">
      <c r="T143" s="8"/>
      <c r="U143" s="8"/>
      <c r="V143" s="8"/>
      <c r="W143" s="8"/>
      <c r="X143" s="8"/>
      <c r="Y143" s="8"/>
      <c r="Z143" s="8"/>
      <c r="AA143" s="8"/>
      <c r="AB143" s="8"/>
      <c r="AC143" s="8"/>
      <c r="AD143" s="8"/>
      <c r="AE143" s="8"/>
      <c r="AF143" s="8"/>
      <c r="AG143" s="8"/>
      <c r="AH143" s="8"/>
      <c r="AI143" s="8"/>
    </row>
    <row r="144" spans="20:35" hidden="1" x14ac:dyDescent="0.2">
      <c r="T144" s="8"/>
      <c r="U144" s="8"/>
      <c r="V144" s="8"/>
      <c r="W144" s="8"/>
      <c r="X144" s="8"/>
      <c r="Y144" s="8"/>
      <c r="Z144" s="8"/>
      <c r="AA144" s="8"/>
      <c r="AB144" s="8"/>
      <c r="AC144" s="8"/>
      <c r="AD144" s="8"/>
      <c r="AE144" s="8"/>
      <c r="AF144" s="8"/>
      <c r="AG144" s="8"/>
      <c r="AH144" s="8"/>
      <c r="AI144" s="8"/>
    </row>
    <row r="145" spans="20:35" hidden="1" x14ac:dyDescent="0.2">
      <c r="T145" s="8"/>
      <c r="U145" s="8"/>
      <c r="V145" s="8"/>
      <c r="W145" s="8"/>
      <c r="X145" s="8"/>
      <c r="Y145" s="8"/>
      <c r="Z145" s="8"/>
      <c r="AA145" s="8"/>
      <c r="AB145" s="8"/>
      <c r="AC145" s="8"/>
      <c r="AD145" s="8"/>
      <c r="AE145" s="8"/>
      <c r="AF145" s="8"/>
      <c r="AG145" s="8"/>
      <c r="AH145" s="8"/>
      <c r="AI145" s="8"/>
    </row>
    <row r="146" spans="20:35" hidden="1" x14ac:dyDescent="0.2">
      <c r="T146" s="8"/>
      <c r="U146" s="8"/>
      <c r="V146" s="8"/>
      <c r="W146" s="8"/>
      <c r="X146" s="8"/>
      <c r="Y146" s="8"/>
      <c r="Z146" s="8"/>
      <c r="AA146" s="8"/>
      <c r="AB146" s="8"/>
      <c r="AC146" s="8"/>
      <c r="AD146" s="8"/>
      <c r="AE146" s="8"/>
      <c r="AF146" s="8"/>
      <c r="AG146" s="8"/>
      <c r="AH146" s="8"/>
      <c r="AI146" s="8"/>
    </row>
    <row r="147" spans="20:35" hidden="1" x14ac:dyDescent="0.2">
      <c r="T147" s="8"/>
      <c r="U147" s="8"/>
      <c r="V147" s="8"/>
      <c r="W147" s="8"/>
      <c r="X147" s="8"/>
      <c r="Y147" s="8"/>
      <c r="Z147" s="8"/>
      <c r="AA147" s="8"/>
      <c r="AB147" s="8"/>
      <c r="AC147" s="8"/>
      <c r="AD147" s="8"/>
      <c r="AE147" s="8"/>
      <c r="AF147" s="8"/>
      <c r="AG147" s="8"/>
      <c r="AH147" s="8"/>
      <c r="AI147" s="8"/>
    </row>
    <row r="148" spans="20:35" hidden="1" x14ac:dyDescent="0.2">
      <c r="T148" s="8"/>
      <c r="U148" s="8"/>
      <c r="V148" s="8"/>
      <c r="W148" s="8"/>
      <c r="X148" s="8"/>
      <c r="Y148" s="8"/>
      <c r="Z148" s="8"/>
      <c r="AA148" s="8"/>
      <c r="AB148" s="8"/>
      <c r="AC148" s="8"/>
      <c r="AD148" s="8"/>
      <c r="AE148" s="8"/>
      <c r="AF148" s="8"/>
      <c r="AG148" s="8"/>
      <c r="AH148" s="8"/>
      <c r="AI148" s="8"/>
    </row>
    <row r="149" spans="20:35" hidden="1" x14ac:dyDescent="0.2">
      <c r="T149" s="8"/>
      <c r="U149" s="8"/>
      <c r="V149" s="8"/>
      <c r="W149" s="8"/>
      <c r="X149" s="8"/>
      <c r="Y149" s="8"/>
      <c r="Z149" s="8"/>
      <c r="AA149" s="8"/>
      <c r="AB149" s="8"/>
      <c r="AC149" s="8"/>
      <c r="AD149" s="8"/>
      <c r="AE149" s="8"/>
      <c r="AF149" s="8"/>
      <c r="AG149" s="8"/>
      <c r="AH149" s="8"/>
      <c r="AI149" s="8"/>
    </row>
    <row r="150" spans="20:35" hidden="1" x14ac:dyDescent="0.2">
      <c r="T150" s="8"/>
      <c r="U150" s="8"/>
      <c r="V150" s="8"/>
      <c r="W150" s="8"/>
      <c r="X150" s="8"/>
      <c r="Y150" s="8"/>
      <c r="Z150" s="8"/>
      <c r="AA150" s="8"/>
      <c r="AB150" s="8"/>
      <c r="AC150" s="8"/>
      <c r="AD150" s="8"/>
      <c r="AE150" s="8"/>
      <c r="AF150" s="8"/>
      <c r="AG150" s="8"/>
      <c r="AH150" s="8"/>
      <c r="AI150" s="8"/>
    </row>
    <row r="151" spans="20:35" hidden="1" x14ac:dyDescent="0.2">
      <c r="T151" s="8"/>
      <c r="U151" s="8"/>
      <c r="V151" s="8"/>
      <c r="W151" s="8"/>
      <c r="X151" s="8"/>
      <c r="Y151" s="8"/>
      <c r="Z151" s="8"/>
      <c r="AA151" s="8"/>
      <c r="AB151" s="8"/>
      <c r="AC151" s="8"/>
      <c r="AD151" s="8"/>
      <c r="AE151" s="8"/>
      <c r="AF151" s="8"/>
      <c r="AG151" s="8"/>
      <c r="AH151" s="8"/>
      <c r="AI151" s="8"/>
    </row>
    <row r="152" spans="20:35" hidden="1" x14ac:dyDescent="0.2">
      <c r="T152" s="8"/>
      <c r="U152" s="8"/>
      <c r="V152" s="8"/>
      <c r="W152" s="8"/>
      <c r="X152" s="8"/>
      <c r="Y152" s="8"/>
      <c r="Z152" s="8"/>
      <c r="AA152" s="8"/>
      <c r="AB152" s="8"/>
      <c r="AC152" s="8"/>
      <c r="AD152" s="8"/>
      <c r="AE152" s="8"/>
      <c r="AF152" s="8"/>
      <c r="AG152" s="8"/>
      <c r="AH152" s="8"/>
      <c r="AI152" s="8"/>
    </row>
    <row r="153" spans="20:35" hidden="1" x14ac:dyDescent="0.2">
      <c r="T153" s="8"/>
      <c r="U153" s="8"/>
      <c r="V153" s="8"/>
      <c r="W153" s="8"/>
      <c r="X153" s="8"/>
      <c r="Y153" s="8"/>
      <c r="Z153" s="8"/>
      <c r="AA153" s="8"/>
      <c r="AB153" s="8"/>
      <c r="AC153" s="8"/>
      <c r="AD153" s="8"/>
      <c r="AE153" s="8"/>
      <c r="AF153" s="8"/>
      <c r="AG153" s="8"/>
      <c r="AH153" s="8"/>
      <c r="AI153" s="8"/>
    </row>
    <row r="154" spans="20:35" hidden="1" x14ac:dyDescent="0.2">
      <c r="T154" s="8"/>
      <c r="U154" s="8"/>
      <c r="V154" s="8"/>
      <c r="W154" s="8"/>
      <c r="X154" s="8"/>
      <c r="Y154" s="8"/>
      <c r="Z154" s="8"/>
      <c r="AA154" s="8"/>
      <c r="AB154" s="8"/>
      <c r="AC154" s="8"/>
      <c r="AD154" s="8"/>
      <c r="AE154" s="8"/>
      <c r="AF154" s="8"/>
      <c r="AG154" s="8"/>
      <c r="AH154" s="8"/>
      <c r="AI154" s="8"/>
    </row>
    <row r="155" spans="20:35" hidden="1" x14ac:dyDescent="0.2">
      <c r="T155" s="8"/>
      <c r="U155" s="8"/>
      <c r="V155" s="8"/>
      <c r="W155" s="8"/>
      <c r="X155" s="8"/>
      <c r="Y155" s="8"/>
      <c r="Z155" s="8"/>
      <c r="AA155" s="8"/>
      <c r="AB155" s="8"/>
      <c r="AC155" s="8"/>
      <c r="AD155" s="8"/>
      <c r="AE155" s="8"/>
      <c r="AF155" s="8"/>
      <c r="AG155" s="8"/>
      <c r="AH155" s="8"/>
      <c r="AI155" s="8"/>
    </row>
    <row r="156" spans="20:35" hidden="1" x14ac:dyDescent="0.2">
      <c r="T156" s="8"/>
      <c r="U156" s="8"/>
      <c r="V156" s="8"/>
      <c r="W156" s="8"/>
      <c r="X156" s="8"/>
      <c r="Y156" s="8"/>
      <c r="Z156" s="8"/>
      <c r="AA156" s="8"/>
      <c r="AB156" s="8"/>
      <c r="AC156" s="8"/>
      <c r="AD156" s="8"/>
      <c r="AE156" s="8"/>
      <c r="AF156" s="8"/>
      <c r="AG156" s="8"/>
      <c r="AH156" s="8"/>
      <c r="AI156" s="8"/>
    </row>
    <row r="157" spans="20:35" hidden="1" x14ac:dyDescent="0.2">
      <c r="T157" s="8"/>
      <c r="U157" s="8"/>
      <c r="V157" s="8"/>
      <c r="W157" s="8"/>
      <c r="X157" s="8"/>
      <c r="Y157" s="8"/>
      <c r="Z157" s="8"/>
      <c r="AA157" s="8"/>
      <c r="AB157" s="8"/>
      <c r="AC157" s="8"/>
      <c r="AD157" s="8"/>
      <c r="AE157" s="8"/>
      <c r="AF157" s="8"/>
      <c r="AG157" s="8"/>
      <c r="AH157" s="8"/>
      <c r="AI157" s="8"/>
    </row>
    <row r="158" spans="20:35" hidden="1" x14ac:dyDescent="0.2">
      <c r="T158" s="8"/>
      <c r="U158" s="8"/>
      <c r="V158" s="8"/>
      <c r="W158" s="8"/>
      <c r="X158" s="8"/>
      <c r="Y158" s="8"/>
      <c r="Z158" s="8"/>
      <c r="AA158" s="8"/>
      <c r="AB158" s="8"/>
      <c r="AC158" s="8"/>
      <c r="AD158" s="8"/>
      <c r="AE158" s="8"/>
      <c r="AF158" s="8"/>
      <c r="AG158" s="8"/>
      <c r="AH158" s="8"/>
      <c r="AI158" s="8"/>
    </row>
    <row r="159" spans="20:35" hidden="1" x14ac:dyDescent="0.2">
      <c r="T159" s="8"/>
      <c r="U159" s="8"/>
      <c r="V159" s="8"/>
      <c r="W159" s="8"/>
      <c r="X159" s="8"/>
      <c r="Y159" s="8"/>
      <c r="Z159" s="8"/>
      <c r="AA159" s="8"/>
      <c r="AB159" s="8"/>
      <c r="AC159" s="8"/>
      <c r="AD159" s="8"/>
      <c r="AE159" s="8"/>
      <c r="AF159" s="8"/>
      <c r="AG159" s="8"/>
      <c r="AH159" s="8"/>
      <c r="AI159" s="8"/>
    </row>
    <row r="160" spans="20:35" hidden="1" x14ac:dyDescent="0.2">
      <c r="T160" s="8"/>
      <c r="U160" s="8"/>
      <c r="V160" s="8"/>
      <c r="W160" s="8"/>
      <c r="X160" s="8"/>
      <c r="Y160" s="8"/>
      <c r="Z160" s="8"/>
      <c r="AA160" s="8"/>
      <c r="AB160" s="8"/>
      <c r="AC160" s="8"/>
      <c r="AD160" s="8"/>
      <c r="AE160" s="8"/>
      <c r="AF160" s="8"/>
      <c r="AG160" s="8"/>
      <c r="AH160" s="8"/>
      <c r="AI160" s="8"/>
    </row>
    <row r="161" spans="20:35" hidden="1" x14ac:dyDescent="0.2">
      <c r="T161" s="8"/>
      <c r="U161" s="8"/>
      <c r="V161" s="8"/>
      <c r="W161" s="8"/>
      <c r="X161" s="8"/>
      <c r="Y161" s="8"/>
      <c r="Z161" s="8"/>
      <c r="AA161" s="8"/>
      <c r="AB161" s="8"/>
      <c r="AC161" s="8"/>
      <c r="AD161" s="8"/>
      <c r="AE161" s="8"/>
      <c r="AF161" s="8"/>
      <c r="AG161" s="8"/>
      <c r="AH161" s="8"/>
      <c r="AI161" s="8"/>
    </row>
    <row r="162" spans="20:35" hidden="1" x14ac:dyDescent="0.2">
      <c r="T162" s="8"/>
      <c r="U162" s="8"/>
      <c r="V162" s="8"/>
      <c r="W162" s="8"/>
      <c r="X162" s="8"/>
      <c r="Y162" s="8"/>
      <c r="Z162" s="8"/>
      <c r="AA162" s="8"/>
      <c r="AB162" s="8"/>
      <c r="AC162" s="8"/>
      <c r="AD162" s="8"/>
      <c r="AE162" s="8"/>
      <c r="AF162" s="8"/>
      <c r="AG162" s="8"/>
      <c r="AH162" s="8"/>
      <c r="AI162" s="8"/>
    </row>
    <row r="163" spans="20:35" hidden="1" x14ac:dyDescent="0.2">
      <c r="T163" s="8"/>
      <c r="U163" s="8"/>
      <c r="V163" s="8"/>
      <c r="W163" s="8"/>
      <c r="X163" s="8"/>
      <c r="Y163" s="8"/>
      <c r="Z163" s="8"/>
      <c r="AA163" s="8"/>
      <c r="AB163" s="8"/>
      <c r="AC163" s="8"/>
      <c r="AD163" s="8"/>
      <c r="AE163" s="8"/>
      <c r="AF163" s="8"/>
      <c r="AG163" s="8"/>
      <c r="AH163" s="8"/>
      <c r="AI163" s="8"/>
    </row>
    <row r="164" spans="20:35" hidden="1" x14ac:dyDescent="0.2">
      <c r="T164" s="8"/>
      <c r="U164" s="8"/>
      <c r="V164" s="8"/>
      <c r="W164" s="8"/>
      <c r="X164" s="8"/>
      <c r="Y164" s="8"/>
      <c r="Z164" s="8"/>
      <c r="AA164" s="8"/>
      <c r="AB164" s="8"/>
      <c r="AC164" s="8"/>
      <c r="AD164" s="8"/>
      <c r="AE164" s="8"/>
      <c r="AF164" s="8"/>
      <c r="AG164" s="8"/>
      <c r="AH164" s="8"/>
      <c r="AI164" s="8"/>
    </row>
    <row r="165" spans="20:35" hidden="1" x14ac:dyDescent="0.2">
      <c r="T165" s="8"/>
      <c r="U165" s="8"/>
      <c r="V165" s="8"/>
      <c r="W165" s="8"/>
      <c r="X165" s="8"/>
      <c r="Y165" s="8"/>
      <c r="Z165" s="8"/>
      <c r="AA165" s="8"/>
      <c r="AB165" s="8"/>
      <c r="AC165" s="8"/>
      <c r="AD165" s="8"/>
      <c r="AE165" s="8"/>
      <c r="AF165" s="8"/>
      <c r="AG165" s="8"/>
      <c r="AH165" s="8"/>
      <c r="AI165" s="8"/>
    </row>
    <row r="166" spans="20:35" hidden="1" x14ac:dyDescent="0.2">
      <c r="T166" s="8"/>
      <c r="U166" s="8"/>
      <c r="V166" s="8"/>
      <c r="W166" s="8"/>
      <c r="X166" s="8"/>
      <c r="Y166" s="8"/>
      <c r="Z166" s="8"/>
      <c r="AA166" s="8"/>
      <c r="AB166" s="8"/>
      <c r="AC166" s="8"/>
      <c r="AD166" s="8"/>
      <c r="AE166" s="8"/>
      <c r="AF166" s="8"/>
      <c r="AG166" s="8"/>
      <c r="AH166" s="8"/>
      <c r="AI166" s="8"/>
    </row>
    <row r="167" spans="20:35" hidden="1" x14ac:dyDescent="0.2">
      <c r="T167" s="8"/>
      <c r="U167" s="8"/>
      <c r="V167" s="8"/>
      <c r="W167" s="8"/>
      <c r="X167" s="8"/>
      <c r="Y167" s="8"/>
      <c r="Z167" s="8"/>
      <c r="AA167" s="8"/>
      <c r="AB167" s="8"/>
      <c r="AC167" s="8"/>
      <c r="AD167" s="8"/>
      <c r="AE167" s="8"/>
      <c r="AF167" s="8"/>
      <c r="AG167" s="8"/>
      <c r="AH167" s="8"/>
      <c r="AI167" s="8"/>
    </row>
    <row r="168" spans="20:35" hidden="1" x14ac:dyDescent="0.2">
      <c r="T168" s="8"/>
      <c r="U168" s="8"/>
      <c r="V168" s="8"/>
      <c r="W168" s="8"/>
      <c r="X168" s="8"/>
      <c r="Y168" s="8"/>
      <c r="Z168" s="8"/>
      <c r="AA168" s="8"/>
      <c r="AB168" s="8"/>
      <c r="AC168" s="8"/>
      <c r="AD168" s="8"/>
      <c r="AE168" s="8"/>
      <c r="AF168" s="8"/>
      <c r="AG168" s="8"/>
      <c r="AH168" s="8"/>
      <c r="AI168" s="8"/>
    </row>
    <row r="169" spans="20:35" hidden="1" x14ac:dyDescent="0.2">
      <c r="T169" s="8"/>
      <c r="U169" s="8"/>
      <c r="V169" s="8"/>
      <c r="W169" s="8"/>
      <c r="X169" s="8"/>
      <c r="Y169" s="8"/>
      <c r="Z169" s="8"/>
      <c r="AA169" s="8"/>
      <c r="AB169" s="8"/>
      <c r="AC169" s="8"/>
      <c r="AD169" s="8"/>
      <c r="AE169" s="8"/>
      <c r="AF169" s="8"/>
      <c r="AG169" s="8"/>
      <c r="AH169" s="8"/>
      <c r="AI169" s="8"/>
    </row>
    <row r="170" spans="20:35" hidden="1" x14ac:dyDescent="0.2">
      <c r="T170" s="8"/>
      <c r="U170" s="8"/>
      <c r="V170" s="8"/>
      <c r="W170" s="8"/>
      <c r="X170" s="8"/>
      <c r="Y170" s="8"/>
      <c r="Z170" s="8"/>
      <c r="AA170" s="8"/>
      <c r="AB170" s="8"/>
      <c r="AC170" s="8"/>
      <c r="AD170" s="8"/>
      <c r="AE170" s="8"/>
      <c r="AF170" s="8"/>
      <c r="AG170" s="8"/>
      <c r="AH170" s="8"/>
      <c r="AI170" s="8"/>
    </row>
    <row r="171" spans="20:35" hidden="1" x14ac:dyDescent="0.2">
      <c r="T171" s="8"/>
      <c r="U171" s="8"/>
      <c r="V171" s="8"/>
      <c r="W171" s="8"/>
      <c r="X171" s="8"/>
      <c r="Y171" s="8"/>
      <c r="Z171" s="8"/>
      <c r="AA171" s="8"/>
      <c r="AB171" s="8"/>
      <c r="AC171" s="8"/>
      <c r="AD171" s="8"/>
      <c r="AE171" s="8"/>
      <c r="AF171" s="8"/>
      <c r="AG171" s="8"/>
      <c r="AH171" s="8"/>
      <c r="AI171" s="8"/>
    </row>
    <row r="172" spans="20:35" hidden="1" x14ac:dyDescent="0.2">
      <c r="T172" s="8"/>
      <c r="U172" s="8"/>
      <c r="V172" s="8"/>
      <c r="W172" s="8"/>
      <c r="X172" s="8"/>
      <c r="Y172" s="8"/>
      <c r="Z172" s="8"/>
      <c r="AA172" s="8"/>
      <c r="AB172" s="8"/>
      <c r="AC172" s="8"/>
      <c r="AD172" s="8"/>
      <c r="AE172" s="8"/>
      <c r="AF172" s="8"/>
      <c r="AG172" s="8"/>
      <c r="AH172" s="8"/>
      <c r="AI172" s="8"/>
    </row>
    <row r="173" spans="20:35" hidden="1" x14ac:dyDescent="0.2">
      <c r="T173" s="8"/>
      <c r="U173" s="8"/>
      <c r="V173" s="8"/>
      <c r="W173" s="8"/>
      <c r="X173" s="8"/>
      <c r="Y173" s="8"/>
      <c r="Z173" s="8"/>
      <c r="AA173" s="8"/>
      <c r="AB173" s="8"/>
      <c r="AC173" s="8"/>
      <c r="AD173" s="8"/>
      <c r="AE173" s="8"/>
      <c r="AF173" s="8"/>
      <c r="AG173" s="8"/>
      <c r="AH173" s="8"/>
      <c r="AI173" s="8"/>
    </row>
    <row r="174" spans="20:35" hidden="1" x14ac:dyDescent="0.2">
      <c r="T174" s="8"/>
      <c r="U174" s="8"/>
      <c r="V174" s="8"/>
      <c r="W174" s="8"/>
      <c r="X174" s="8"/>
      <c r="Y174" s="8"/>
      <c r="Z174" s="8"/>
      <c r="AA174" s="8"/>
      <c r="AB174" s="8"/>
      <c r="AC174" s="8"/>
      <c r="AD174" s="8"/>
      <c r="AE174" s="8"/>
      <c r="AF174" s="8"/>
      <c r="AG174" s="8"/>
      <c r="AH174" s="8"/>
      <c r="AI174" s="8"/>
    </row>
    <row r="175" spans="20:35" hidden="1" x14ac:dyDescent="0.2">
      <c r="T175" s="8"/>
      <c r="U175" s="8"/>
      <c r="V175" s="8"/>
      <c r="W175" s="8"/>
      <c r="X175" s="8"/>
      <c r="Y175" s="8"/>
      <c r="Z175" s="8"/>
      <c r="AA175" s="8"/>
      <c r="AB175" s="8"/>
      <c r="AC175" s="8"/>
      <c r="AD175" s="8"/>
      <c r="AE175" s="8"/>
      <c r="AF175" s="8"/>
      <c r="AG175" s="8"/>
      <c r="AH175" s="8"/>
      <c r="AI175" s="8"/>
    </row>
    <row r="176" spans="20:35" hidden="1" x14ac:dyDescent="0.2">
      <c r="T176" s="8"/>
      <c r="U176" s="8"/>
      <c r="V176" s="8"/>
      <c r="W176" s="8"/>
      <c r="X176" s="8"/>
      <c r="Y176" s="8"/>
      <c r="Z176" s="8"/>
      <c r="AA176" s="8"/>
      <c r="AB176" s="8"/>
      <c r="AC176" s="8"/>
      <c r="AD176" s="8"/>
      <c r="AE176" s="8"/>
      <c r="AF176" s="8"/>
      <c r="AG176" s="8"/>
      <c r="AH176" s="8"/>
      <c r="AI176" s="8"/>
    </row>
    <row r="177" spans="20:35" hidden="1" x14ac:dyDescent="0.2">
      <c r="T177" s="8"/>
      <c r="U177" s="8"/>
      <c r="V177" s="8"/>
      <c r="W177" s="8"/>
      <c r="X177" s="8"/>
      <c r="Y177" s="8"/>
      <c r="Z177" s="8"/>
      <c r="AA177" s="8"/>
      <c r="AB177" s="8"/>
      <c r="AC177" s="8"/>
      <c r="AD177" s="8"/>
      <c r="AE177" s="8"/>
      <c r="AF177" s="8"/>
      <c r="AG177" s="8"/>
      <c r="AH177" s="8"/>
      <c r="AI177" s="8"/>
    </row>
    <row r="178" spans="20:35" hidden="1" x14ac:dyDescent="0.2">
      <c r="T178" s="8"/>
      <c r="U178" s="8"/>
      <c r="V178" s="8"/>
      <c r="W178" s="8"/>
      <c r="X178" s="8"/>
      <c r="Y178" s="8"/>
      <c r="Z178" s="8"/>
      <c r="AA178" s="8"/>
      <c r="AB178" s="8"/>
      <c r="AC178" s="8"/>
      <c r="AD178" s="8"/>
      <c r="AE178" s="8"/>
      <c r="AF178" s="8"/>
      <c r="AG178" s="8"/>
      <c r="AH178" s="8"/>
      <c r="AI178" s="8"/>
    </row>
    <row r="179" spans="20:35" hidden="1" x14ac:dyDescent="0.2">
      <c r="T179" s="8"/>
      <c r="U179" s="8"/>
      <c r="V179" s="8"/>
      <c r="W179" s="8"/>
      <c r="X179" s="8"/>
      <c r="Y179" s="8"/>
      <c r="Z179" s="8"/>
      <c r="AA179" s="8"/>
      <c r="AB179" s="8"/>
      <c r="AC179" s="8"/>
      <c r="AD179" s="8"/>
      <c r="AE179" s="8"/>
      <c r="AF179" s="8"/>
      <c r="AG179" s="8"/>
      <c r="AH179" s="8"/>
      <c r="AI179" s="8"/>
    </row>
    <row r="180" spans="20:35" hidden="1" x14ac:dyDescent="0.2">
      <c r="T180" s="8"/>
      <c r="U180" s="8"/>
      <c r="V180" s="8"/>
      <c r="W180" s="8"/>
      <c r="X180" s="8"/>
      <c r="Y180" s="8"/>
      <c r="Z180" s="8"/>
      <c r="AA180" s="8"/>
      <c r="AB180" s="8"/>
      <c r="AC180" s="8"/>
      <c r="AD180" s="8"/>
      <c r="AE180" s="8"/>
      <c r="AF180" s="8"/>
      <c r="AG180" s="8"/>
      <c r="AH180" s="8"/>
      <c r="AI180" s="8"/>
    </row>
    <row r="181" spans="20:35" hidden="1" x14ac:dyDescent="0.2">
      <c r="T181" s="8"/>
      <c r="U181" s="8"/>
      <c r="V181" s="8"/>
      <c r="W181" s="8"/>
      <c r="X181" s="8"/>
      <c r="Y181" s="8"/>
      <c r="Z181" s="8"/>
      <c r="AA181" s="8"/>
      <c r="AB181" s="8"/>
      <c r="AC181" s="8"/>
      <c r="AD181" s="8"/>
      <c r="AE181" s="8"/>
      <c r="AF181" s="8"/>
      <c r="AG181" s="8"/>
      <c r="AH181" s="8"/>
      <c r="AI181" s="8"/>
    </row>
    <row r="182" spans="20:35" hidden="1" x14ac:dyDescent="0.2">
      <c r="T182" s="8"/>
      <c r="U182" s="8"/>
      <c r="V182" s="8"/>
      <c r="W182" s="8"/>
      <c r="X182" s="8"/>
      <c r="Y182" s="8"/>
      <c r="Z182" s="8"/>
      <c r="AA182" s="8"/>
      <c r="AB182" s="8"/>
      <c r="AC182" s="8"/>
      <c r="AD182" s="8"/>
      <c r="AE182" s="8"/>
      <c r="AF182" s="8"/>
      <c r="AG182" s="8"/>
      <c r="AH182" s="8"/>
      <c r="AI182" s="8"/>
    </row>
    <row r="183" spans="20:35" hidden="1" x14ac:dyDescent="0.2">
      <c r="T183" s="8"/>
      <c r="U183" s="8"/>
      <c r="V183" s="8"/>
      <c r="W183" s="8"/>
      <c r="X183" s="8"/>
      <c r="Y183" s="8"/>
      <c r="Z183" s="8"/>
      <c r="AA183" s="8"/>
      <c r="AB183" s="8"/>
      <c r="AC183" s="8"/>
      <c r="AD183" s="8"/>
      <c r="AE183" s="8"/>
      <c r="AF183" s="8"/>
      <c r="AG183" s="8"/>
      <c r="AH183" s="8"/>
      <c r="AI183" s="8"/>
    </row>
    <row r="184" spans="20:35" hidden="1" x14ac:dyDescent="0.2">
      <c r="T184" s="8"/>
      <c r="U184" s="8"/>
      <c r="V184" s="8"/>
      <c r="W184" s="8"/>
      <c r="X184" s="8"/>
      <c r="Y184" s="8"/>
      <c r="Z184" s="8"/>
      <c r="AA184" s="8"/>
      <c r="AB184" s="8"/>
      <c r="AC184" s="8"/>
      <c r="AD184" s="8"/>
      <c r="AE184" s="8"/>
      <c r="AF184" s="8"/>
      <c r="AG184" s="8"/>
      <c r="AH184" s="8"/>
      <c r="AI184" s="8"/>
    </row>
    <row r="185" spans="20:35" hidden="1" x14ac:dyDescent="0.2">
      <c r="T185" s="8"/>
      <c r="U185" s="8"/>
      <c r="V185" s="8"/>
      <c r="W185" s="8"/>
      <c r="X185" s="8"/>
      <c r="Y185" s="8"/>
      <c r="Z185" s="8"/>
      <c r="AA185" s="8"/>
      <c r="AB185" s="8"/>
      <c r="AC185" s="8"/>
      <c r="AD185" s="8"/>
      <c r="AE185" s="8"/>
      <c r="AF185" s="8"/>
      <c r="AG185" s="8"/>
      <c r="AH185" s="8"/>
      <c r="AI185" s="8"/>
    </row>
    <row r="186" spans="20:35" hidden="1" x14ac:dyDescent="0.2">
      <c r="T186" s="8"/>
      <c r="U186" s="8"/>
      <c r="V186" s="8"/>
      <c r="W186" s="8"/>
      <c r="X186" s="8"/>
      <c r="Y186" s="8"/>
      <c r="Z186" s="8"/>
      <c r="AA186" s="8"/>
      <c r="AB186" s="8"/>
      <c r="AC186" s="8"/>
      <c r="AD186" s="8"/>
      <c r="AE186" s="8"/>
      <c r="AF186" s="8"/>
      <c r="AG186" s="8"/>
      <c r="AH186" s="8"/>
      <c r="AI186" s="8"/>
    </row>
    <row r="187" spans="20:35" hidden="1" x14ac:dyDescent="0.2">
      <c r="T187" s="8"/>
      <c r="U187" s="8"/>
      <c r="V187" s="8"/>
      <c r="W187" s="8"/>
      <c r="X187" s="8"/>
      <c r="Y187" s="8"/>
      <c r="Z187" s="8"/>
      <c r="AA187" s="8"/>
      <c r="AB187" s="8"/>
      <c r="AC187" s="8"/>
      <c r="AD187" s="8"/>
      <c r="AE187" s="8"/>
      <c r="AF187" s="8"/>
      <c r="AG187" s="8"/>
      <c r="AH187" s="8"/>
      <c r="AI187" s="8"/>
    </row>
    <row r="188" spans="20:35" hidden="1" x14ac:dyDescent="0.2">
      <c r="T188" s="8"/>
      <c r="U188" s="8"/>
      <c r="V188" s="8"/>
      <c r="W188" s="8"/>
      <c r="X188" s="8"/>
      <c r="Y188" s="8"/>
      <c r="Z188" s="8"/>
      <c r="AA188" s="8"/>
      <c r="AB188" s="8"/>
      <c r="AC188" s="8"/>
      <c r="AD188" s="8"/>
      <c r="AE188" s="8"/>
      <c r="AF188" s="8"/>
      <c r="AG188" s="8"/>
      <c r="AH188" s="8"/>
      <c r="AI188" s="8"/>
    </row>
    <row r="189" spans="20:35" hidden="1" x14ac:dyDescent="0.2">
      <c r="T189" s="8"/>
      <c r="U189" s="8"/>
      <c r="V189" s="8"/>
      <c r="W189" s="8"/>
      <c r="X189" s="8"/>
      <c r="Y189" s="8"/>
      <c r="Z189" s="8"/>
      <c r="AA189" s="8"/>
      <c r="AB189" s="8"/>
      <c r="AC189" s="8"/>
      <c r="AD189" s="8"/>
      <c r="AE189" s="8"/>
      <c r="AF189" s="8"/>
      <c r="AG189" s="8"/>
      <c r="AH189" s="8"/>
      <c r="AI189" s="8"/>
    </row>
    <row r="190" spans="20:35" hidden="1" x14ac:dyDescent="0.2">
      <c r="T190" s="8"/>
      <c r="U190" s="8"/>
      <c r="V190" s="8"/>
      <c r="W190" s="8"/>
      <c r="X190" s="8"/>
      <c r="Y190" s="8"/>
      <c r="Z190" s="8"/>
      <c r="AA190" s="8"/>
      <c r="AB190" s="8"/>
      <c r="AC190" s="8"/>
      <c r="AD190" s="8"/>
      <c r="AE190" s="8"/>
      <c r="AF190" s="8"/>
      <c r="AG190" s="8"/>
      <c r="AH190" s="8"/>
      <c r="AI190" s="8"/>
    </row>
    <row r="191" spans="20:35" hidden="1" x14ac:dyDescent="0.2">
      <c r="T191" s="8"/>
      <c r="U191" s="8"/>
      <c r="V191" s="8"/>
      <c r="W191" s="8"/>
      <c r="X191" s="8"/>
      <c r="Y191" s="8"/>
      <c r="Z191" s="8"/>
      <c r="AA191" s="8"/>
      <c r="AB191" s="8"/>
      <c r="AC191" s="8"/>
      <c r="AD191" s="8"/>
      <c r="AE191" s="8"/>
      <c r="AF191" s="8"/>
      <c r="AG191" s="8"/>
      <c r="AH191" s="8"/>
      <c r="AI191" s="8"/>
    </row>
    <row r="192" spans="20:35" hidden="1" x14ac:dyDescent="0.2">
      <c r="T192" s="8"/>
      <c r="U192" s="8"/>
      <c r="V192" s="8"/>
      <c r="W192" s="8"/>
      <c r="X192" s="8"/>
      <c r="Y192" s="8"/>
      <c r="Z192" s="8"/>
      <c r="AA192" s="8"/>
      <c r="AB192" s="8"/>
      <c r="AC192" s="8"/>
      <c r="AD192" s="8"/>
      <c r="AE192" s="8"/>
      <c r="AF192" s="8"/>
      <c r="AG192" s="8"/>
      <c r="AH192" s="8"/>
      <c r="AI192" s="8"/>
    </row>
    <row r="193" spans="20:35" hidden="1" x14ac:dyDescent="0.2">
      <c r="T193" s="8"/>
      <c r="U193" s="8"/>
      <c r="V193" s="8"/>
      <c r="W193" s="8"/>
      <c r="X193" s="8"/>
      <c r="Y193" s="8"/>
      <c r="Z193" s="8"/>
      <c r="AA193" s="8"/>
      <c r="AB193" s="8"/>
      <c r="AC193" s="8"/>
      <c r="AD193" s="8"/>
      <c r="AE193" s="8"/>
      <c r="AF193" s="8"/>
      <c r="AG193" s="8"/>
      <c r="AH193" s="8"/>
      <c r="AI193" s="8"/>
    </row>
    <row r="194" spans="20:35" hidden="1" x14ac:dyDescent="0.2">
      <c r="T194" s="8"/>
      <c r="U194" s="8"/>
      <c r="V194" s="8"/>
      <c r="W194" s="8"/>
      <c r="X194" s="8"/>
      <c r="Y194" s="8"/>
      <c r="Z194" s="8"/>
      <c r="AA194" s="8"/>
      <c r="AB194" s="8"/>
      <c r="AC194" s="8"/>
      <c r="AD194" s="8"/>
      <c r="AE194" s="8"/>
      <c r="AF194" s="8"/>
      <c r="AG194" s="8"/>
      <c r="AH194" s="8"/>
      <c r="AI194" s="8"/>
    </row>
    <row r="195" spans="20:35" hidden="1" x14ac:dyDescent="0.2">
      <c r="T195" s="8"/>
      <c r="U195" s="8"/>
      <c r="V195" s="8"/>
      <c r="W195" s="8"/>
      <c r="X195" s="8"/>
      <c r="Y195" s="8"/>
      <c r="Z195" s="8"/>
      <c r="AA195" s="8"/>
      <c r="AB195" s="8"/>
      <c r="AC195" s="8"/>
      <c r="AD195" s="8"/>
      <c r="AE195" s="8"/>
      <c r="AF195" s="8"/>
      <c r="AG195" s="8"/>
      <c r="AH195" s="8"/>
      <c r="AI195" s="8"/>
    </row>
    <row r="196" spans="20:35" hidden="1" x14ac:dyDescent="0.2">
      <c r="T196" s="8"/>
      <c r="U196" s="8"/>
      <c r="V196" s="8"/>
      <c r="W196" s="8"/>
      <c r="X196" s="8"/>
      <c r="Y196" s="8"/>
      <c r="Z196" s="8"/>
      <c r="AA196" s="8"/>
      <c r="AB196" s="8"/>
      <c r="AC196" s="8"/>
      <c r="AD196" s="8"/>
      <c r="AE196" s="8"/>
      <c r="AF196" s="8"/>
      <c r="AG196" s="8"/>
      <c r="AH196" s="8"/>
      <c r="AI196" s="8"/>
    </row>
    <row r="197" spans="20:35" hidden="1" x14ac:dyDescent="0.2">
      <c r="T197" s="8"/>
      <c r="U197" s="8"/>
      <c r="V197" s="8"/>
      <c r="W197" s="8"/>
      <c r="X197" s="8"/>
      <c r="Y197" s="8"/>
      <c r="Z197" s="8"/>
      <c r="AA197" s="8"/>
      <c r="AB197" s="8"/>
      <c r="AC197" s="8"/>
      <c r="AD197" s="8"/>
      <c r="AE197" s="8"/>
      <c r="AF197" s="8"/>
      <c r="AG197" s="8"/>
      <c r="AH197" s="8"/>
      <c r="AI197" s="8"/>
    </row>
    <row r="198" spans="20:35" hidden="1" x14ac:dyDescent="0.2">
      <c r="T198" s="8"/>
      <c r="U198" s="8"/>
      <c r="V198" s="8"/>
      <c r="W198" s="8"/>
      <c r="X198" s="8"/>
      <c r="Y198" s="8"/>
      <c r="Z198" s="8"/>
      <c r="AA198" s="8"/>
      <c r="AB198" s="8"/>
      <c r="AC198" s="8"/>
      <c r="AD198" s="8"/>
      <c r="AE198" s="8"/>
      <c r="AF198" s="8"/>
      <c r="AG198" s="8"/>
      <c r="AH198" s="8"/>
      <c r="AI198" s="8"/>
    </row>
    <row r="199" spans="20:35" hidden="1" x14ac:dyDescent="0.2">
      <c r="T199" s="8"/>
      <c r="U199" s="8"/>
      <c r="V199" s="8"/>
      <c r="W199" s="8"/>
      <c r="X199" s="8"/>
      <c r="Y199" s="8"/>
      <c r="Z199" s="8"/>
      <c r="AA199" s="8"/>
      <c r="AB199" s="8"/>
      <c r="AC199" s="8"/>
      <c r="AD199" s="8"/>
      <c r="AE199" s="8"/>
      <c r="AF199" s="8"/>
      <c r="AG199" s="8"/>
      <c r="AH199" s="8"/>
      <c r="AI199" s="8"/>
    </row>
    <row r="200" spans="20:35" hidden="1" x14ac:dyDescent="0.2">
      <c r="T200" s="8"/>
      <c r="U200" s="8"/>
      <c r="V200" s="8"/>
      <c r="W200" s="8"/>
      <c r="X200" s="8"/>
      <c r="Y200" s="8"/>
      <c r="Z200" s="8"/>
      <c r="AA200" s="8"/>
      <c r="AB200" s="8"/>
      <c r="AC200" s="8"/>
      <c r="AD200" s="8"/>
      <c r="AE200" s="8"/>
      <c r="AF200" s="8"/>
      <c r="AG200" s="8"/>
      <c r="AH200" s="8"/>
      <c r="AI200" s="8"/>
    </row>
    <row r="201" spans="20:35" hidden="1" x14ac:dyDescent="0.2">
      <c r="T201" s="8"/>
      <c r="U201" s="8"/>
      <c r="V201" s="8"/>
      <c r="W201" s="8"/>
      <c r="X201" s="8"/>
      <c r="Y201" s="8"/>
      <c r="Z201" s="8"/>
      <c r="AA201" s="8"/>
      <c r="AB201" s="8"/>
      <c r="AC201" s="8"/>
      <c r="AD201" s="8"/>
      <c r="AE201" s="8"/>
      <c r="AF201" s="8"/>
      <c r="AG201" s="8"/>
      <c r="AH201" s="8"/>
      <c r="AI201" s="8"/>
    </row>
    <row r="202" spans="20:35" hidden="1" x14ac:dyDescent="0.2">
      <c r="T202" s="8"/>
      <c r="U202" s="8"/>
      <c r="V202" s="8"/>
      <c r="W202" s="8"/>
      <c r="X202" s="8"/>
      <c r="Y202" s="8"/>
      <c r="Z202" s="8"/>
      <c r="AA202" s="8"/>
      <c r="AB202" s="8"/>
      <c r="AC202" s="8"/>
      <c r="AD202" s="8"/>
      <c r="AE202" s="8"/>
      <c r="AF202" s="8"/>
      <c r="AG202" s="8"/>
      <c r="AH202" s="8"/>
      <c r="AI202" s="8"/>
    </row>
    <row r="203" spans="20:35" hidden="1" x14ac:dyDescent="0.2">
      <c r="T203" s="8"/>
      <c r="U203" s="8"/>
      <c r="V203" s="8"/>
      <c r="W203" s="8"/>
      <c r="X203" s="8"/>
      <c r="Y203" s="8"/>
      <c r="Z203" s="8"/>
      <c r="AA203" s="8"/>
      <c r="AB203" s="8"/>
      <c r="AC203" s="8"/>
      <c r="AD203" s="8"/>
      <c r="AE203" s="8"/>
      <c r="AF203" s="8"/>
      <c r="AG203" s="8"/>
      <c r="AH203" s="8"/>
      <c r="AI203" s="8"/>
    </row>
    <row r="204" spans="20:35" hidden="1" x14ac:dyDescent="0.2">
      <c r="T204" s="8"/>
      <c r="U204" s="8"/>
      <c r="V204" s="8"/>
      <c r="W204" s="8"/>
      <c r="X204" s="8"/>
      <c r="Y204" s="8"/>
      <c r="Z204" s="8"/>
      <c r="AA204" s="8"/>
      <c r="AB204" s="8"/>
      <c r="AC204" s="8"/>
      <c r="AD204" s="8"/>
      <c r="AE204" s="8"/>
      <c r="AF204" s="8"/>
      <c r="AG204" s="8"/>
      <c r="AH204" s="8"/>
      <c r="AI204" s="8"/>
    </row>
    <row r="205" spans="20:35" hidden="1" x14ac:dyDescent="0.2">
      <c r="T205" s="8"/>
      <c r="U205" s="8"/>
      <c r="V205" s="8"/>
      <c r="W205" s="8"/>
      <c r="X205" s="8"/>
      <c r="Y205" s="8"/>
      <c r="Z205" s="8"/>
      <c r="AA205" s="8"/>
      <c r="AB205" s="8"/>
      <c r="AC205" s="8"/>
      <c r="AD205" s="8"/>
      <c r="AE205" s="8"/>
      <c r="AF205" s="8"/>
      <c r="AG205" s="8"/>
      <c r="AH205" s="8"/>
      <c r="AI205" s="8"/>
    </row>
    <row r="206" spans="20:35" hidden="1" x14ac:dyDescent="0.2">
      <c r="T206" s="8"/>
      <c r="U206" s="8"/>
      <c r="V206" s="8"/>
      <c r="W206" s="8"/>
      <c r="X206" s="8"/>
      <c r="Y206" s="8"/>
      <c r="Z206" s="8"/>
      <c r="AA206" s="8"/>
      <c r="AB206" s="8"/>
      <c r="AC206" s="8"/>
      <c r="AD206" s="8"/>
      <c r="AE206" s="8"/>
      <c r="AF206" s="8"/>
      <c r="AG206" s="8"/>
      <c r="AH206" s="8"/>
      <c r="AI206" s="8"/>
    </row>
    <row r="207" spans="20:35" hidden="1" x14ac:dyDescent="0.2">
      <c r="T207" s="8"/>
      <c r="U207" s="8"/>
      <c r="V207" s="8"/>
      <c r="W207" s="8"/>
      <c r="X207" s="8"/>
      <c r="Y207" s="8"/>
      <c r="Z207" s="8"/>
      <c r="AA207" s="8"/>
      <c r="AB207" s="8"/>
      <c r="AC207" s="8"/>
      <c r="AD207" s="8"/>
      <c r="AE207" s="8"/>
      <c r="AF207" s="8"/>
      <c r="AG207" s="8"/>
      <c r="AH207" s="8"/>
      <c r="AI207" s="8"/>
    </row>
    <row r="208" spans="20:35" hidden="1" x14ac:dyDescent="0.2">
      <c r="T208" s="8"/>
      <c r="U208" s="8"/>
      <c r="V208" s="8"/>
      <c r="W208" s="8"/>
      <c r="X208" s="8"/>
      <c r="Y208" s="8"/>
      <c r="Z208" s="8"/>
      <c r="AA208" s="8"/>
      <c r="AB208" s="8"/>
      <c r="AC208" s="8"/>
      <c r="AD208" s="8"/>
      <c r="AE208" s="8"/>
      <c r="AF208" s="8"/>
      <c r="AG208" s="8"/>
      <c r="AH208" s="8"/>
      <c r="AI208" s="8"/>
    </row>
    <row r="209" spans="20:35" hidden="1" x14ac:dyDescent="0.2">
      <c r="T209" s="8"/>
      <c r="U209" s="8"/>
      <c r="V209" s="8"/>
      <c r="W209" s="8"/>
      <c r="X209" s="8"/>
      <c r="Y209" s="8"/>
      <c r="Z209" s="8"/>
      <c r="AA209" s="8"/>
      <c r="AB209" s="8"/>
      <c r="AC209" s="8"/>
      <c r="AD209" s="8"/>
      <c r="AE209" s="8"/>
      <c r="AF209" s="8"/>
      <c r="AG209" s="8"/>
      <c r="AH209" s="8"/>
      <c r="AI209" s="8"/>
    </row>
    <row r="210" spans="20:35" hidden="1" x14ac:dyDescent="0.2">
      <c r="T210" s="8"/>
      <c r="U210" s="8"/>
      <c r="V210" s="8"/>
      <c r="W210" s="8"/>
      <c r="X210" s="8"/>
      <c r="Y210" s="8"/>
      <c r="Z210" s="8"/>
      <c r="AA210" s="8"/>
      <c r="AB210" s="8"/>
      <c r="AC210" s="8"/>
      <c r="AD210" s="8"/>
      <c r="AE210" s="8"/>
      <c r="AF210" s="8"/>
      <c r="AG210" s="8"/>
      <c r="AH210" s="8"/>
      <c r="AI210" s="8"/>
    </row>
    <row r="211" spans="20:35" hidden="1" x14ac:dyDescent="0.2">
      <c r="T211" s="8"/>
      <c r="U211" s="8"/>
      <c r="V211" s="8"/>
      <c r="W211" s="8"/>
      <c r="X211" s="8"/>
      <c r="Y211" s="8"/>
      <c r="Z211" s="8"/>
      <c r="AA211" s="8"/>
      <c r="AB211" s="8"/>
      <c r="AC211" s="8"/>
      <c r="AD211" s="8"/>
      <c r="AE211" s="8"/>
      <c r="AF211" s="8"/>
      <c r="AG211" s="8"/>
      <c r="AH211" s="8"/>
      <c r="AI211" s="8"/>
    </row>
    <row r="212" spans="20:35" hidden="1" x14ac:dyDescent="0.2">
      <c r="T212" s="8"/>
      <c r="U212" s="8"/>
      <c r="V212" s="8"/>
      <c r="W212" s="8"/>
      <c r="X212" s="8"/>
      <c r="Y212" s="8"/>
      <c r="Z212" s="8"/>
      <c r="AA212" s="8"/>
      <c r="AB212" s="8"/>
      <c r="AC212" s="8"/>
      <c r="AD212" s="8"/>
      <c r="AE212" s="8"/>
      <c r="AF212" s="8"/>
      <c r="AG212" s="8"/>
      <c r="AH212" s="8"/>
      <c r="AI212" s="8"/>
    </row>
    <row r="213" spans="20:35" hidden="1" x14ac:dyDescent="0.2">
      <c r="T213" s="8"/>
      <c r="U213" s="8"/>
      <c r="V213" s="8"/>
      <c r="W213" s="8"/>
      <c r="X213" s="8"/>
      <c r="Y213" s="8"/>
      <c r="Z213" s="8"/>
      <c r="AA213" s="8"/>
      <c r="AB213" s="8"/>
      <c r="AC213" s="8"/>
      <c r="AD213" s="8"/>
      <c r="AE213" s="8"/>
      <c r="AF213" s="8"/>
      <c r="AG213" s="8"/>
      <c r="AH213" s="8"/>
      <c r="AI213" s="8"/>
    </row>
    <row r="214" spans="20:35" hidden="1" x14ac:dyDescent="0.2">
      <c r="T214" s="8"/>
      <c r="U214" s="8"/>
      <c r="V214" s="8"/>
      <c r="W214" s="8"/>
      <c r="X214" s="8"/>
      <c r="Y214" s="8"/>
      <c r="Z214" s="8"/>
      <c r="AA214" s="8"/>
      <c r="AB214" s="8"/>
      <c r="AC214" s="8"/>
      <c r="AD214" s="8"/>
      <c r="AE214" s="8"/>
      <c r="AF214" s="8"/>
      <c r="AG214" s="8"/>
      <c r="AH214" s="8"/>
      <c r="AI214" s="8"/>
    </row>
    <row r="215" spans="20:35" hidden="1" x14ac:dyDescent="0.2">
      <c r="T215" s="8"/>
      <c r="U215" s="8"/>
      <c r="V215" s="8"/>
      <c r="W215" s="8"/>
      <c r="X215" s="8"/>
      <c r="Y215" s="8"/>
      <c r="Z215" s="8"/>
      <c r="AA215" s="8"/>
      <c r="AB215" s="8"/>
      <c r="AC215" s="8"/>
      <c r="AD215" s="8"/>
      <c r="AE215" s="8"/>
      <c r="AF215" s="8"/>
      <c r="AG215" s="8"/>
      <c r="AH215" s="8"/>
      <c r="AI215" s="8"/>
    </row>
    <row r="216" spans="20:35" hidden="1" x14ac:dyDescent="0.2">
      <c r="T216" s="8"/>
      <c r="U216" s="8"/>
      <c r="V216" s="8"/>
      <c r="W216" s="8"/>
      <c r="X216" s="8"/>
      <c r="Y216" s="8"/>
      <c r="Z216" s="8"/>
      <c r="AA216" s="8"/>
      <c r="AB216" s="8"/>
      <c r="AC216" s="8"/>
      <c r="AD216" s="8"/>
      <c r="AE216" s="8"/>
      <c r="AF216" s="8"/>
      <c r="AG216" s="8"/>
      <c r="AH216" s="8"/>
      <c r="AI216" s="8"/>
    </row>
  </sheetData>
  <sheetProtection password="CC01" sheet="1" objects="1" scenarios="1" selectLockedCells="1"/>
  <mergeCells count="51">
    <mergeCell ref="B1:F1"/>
    <mergeCell ref="G1:J1"/>
    <mergeCell ref="N1:O1"/>
    <mergeCell ref="B4:E4"/>
    <mergeCell ref="M4:O4"/>
    <mergeCell ref="A2:F2"/>
    <mergeCell ref="B3:F3"/>
    <mergeCell ref="L13:L15"/>
    <mergeCell ref="M13:O15"/>
    <mergeCell ref="B10:C10"/>
    <mergeCell ref="B11:C11"/>
    <mergeCell ref="B12:C12"/>
    <mergeCell ref="B13:C13"/>
    <mergeCell ref="B14:C14"/>
    <mergeCell ref="L12:O12"/>
    <mergeCell ref="D12:E12"/>
    <mergeCell ref="D13:E13"/>
    <mergeCell ref="D14:E14"/>
    <mergeCell ref="D15:E15"/>
    <mergeCell ref="D10:E10"/>
    <mergeCell ref="D11:E11"/>
    <mergeCell ref="A19:C19"/>
    <mergeCell ref="B15:C15"/>
    <mergeCell ref="D16:E16"/>
    <mergeCell ref="A5:F5"/>
    <mergeCell ref="B9:C9"/>
    <mergeCell ref="D9:E9"/>
    <mergeCell ref="D6:E6"/>
    <mergeCell ref="D7:E7"/>
    <mergeCell ref="D8:E8"/>
    <mergeCell ref="B8:C8"/>
    <mergeCell ref="B6:C6"/>
    <mergeCell ref="B7:C7"/>
    <mergeCell ref="D19:E19"/>
    <mergeCell ref="B16:C16"/>
    <mergeCell ref="L22:O23"/>
    <mergeCell ref="G4:K4"/>
    <mergeCell ref="G2:O3"/>
    <mergeCell ref="M25:O25"/>
    <mergeCell ref="B18:C18"/>
    <mergeCell ref="B17:C17"/>
    <mergeCell ref="A24:E24"/>
    <mergeCell ref="A22:E22"/>
    <mergeCell ref="A25:E25"/>
    <mergeCell ref="A20:F20"/>
    <mergeCell ref="D18:E18"/>
    <mergeCell ref="L20:O21"/>
    <mergeCell ref="M24:O24"/>
    <mergeCell ref="D17:E17"/>
    <mergeCell ref="A21:E21"/>
    <mergeCell ref="A23:E23"/>
  </mergeCells>
  <phoneticPr fontId="2" type="noConversion"/>
  <dataValidations count="3">
    <dataValidation type="list" allowBlank="1" showInputMessage="1" showErrorMessage="1" sqref="B3">
      <formula1>$AJ$7:$AJ$10</formula1>
    </dataValidation>
    <dataValidation type="list" allowBlank="1" showInputMessage="1" showErrorMessage="1" sqref="E7">
      <formula1>$AB$8:$AB$10</formula1>
    </dataValidation>
    <dataValidation type="list" allowBlank="1" showInputMessage="1" showErrorMessage="1" sqref="F7:F18 B7:C18">
      <formula1>$AB$8:$AB$11</formula1>
    </dataValidation>
  </dataValidations>
  <pageMargins left="0.7" right="0.7" top="0.75" bottom="0.75" header="0.3" footer="0.3"/>
  <pageSetup scale="65" orientation="landscape" horizontalDpi="200" verticalDpi="200" r:id="rId1"/>
  <headerFooter>
    <oddFooter>&amp;CVersion 2.1, September 2015</oddFooter>
  </headerFooter>
  <drawing r:id="rId2"/>
  <legacyDrawing r:id="rId3"/>
  <controls>
    <mc:AlternateContent xmlns:mc="http://schemas.openxmlformats.org/markup-compatibility/2006">
      <mc:Choice Requires="x14">
        <control shapeId="15361" r:id="rId4" name="DTPicker1">
          <controlPr defaultSize="0" print="0" autoLine="0" autoPict="0" linkedCell="B4" r:id="rId5">
            <anchor moveWithCells="1">
              <from>
                <xdr:col>1</xdr:col>
                <xdr:colOff>0</xdr:colOff>
                <xdr:row>3</xdr:row>
                <xdr:rowOff>9525</xdr:rowOff>
              </from>
              <to>
                <xdr:col>4</xdr:col>
                <xdr:colOff>447675</xdr:colOff>
                <xdr:row>4</xdr:row>
                <xdr:rowOff>0</xdr:rowOff>
              </to>
            </anchor>
          </controlPr>
        </control>
      </mc:Choice>
      <mc:Fallback>
        <control shapeId="15361" r:id="rId4" name="DTPicker1"/>
      </mc:Fallback>
    </mc:AlternateContent>
  </control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V297"/>
  <sheetViews>
    <sheetView showGridLines="0" view="pageLayout" zoomScaleNormal="100" workbookViewId="0">
      <selection activeCell="H29" sqref="H29"/>
    </sheetView>
  </sheetViews>
  <sheetFormatPr defaultColWidth="0" defaultRowHeight="12.75" zeroHeight="1" x14ac:dyDescent="0.2"/>
  <cols>
    <col min="1" max="1" width="27.140625" bestFit="1" customWidth="1"/>
    <col min="2" max="2" width="9.140625" customWidth="1"/>
    <col min="3" max="3" width="10.28515625" customWidth="1"/>
    <col min="4" max="4" width="14.140625" customWidth="1"/>
    <col min="5" max="5" width="9.5703125" customWidth="1"/>
    <col min="6" max="6" width="21" bestFit="1" customWidth="1"/>
    <col min="7" max="7" width="10.7109375" customWidth="1"/>
    <col min="8" max="8" width="19" bestFit="1" customWidth="1"/>
    <col min="9" max="9" width="14.140625" customWidth="1"/>
    <col min="10" max="10" width="4.5703125" hidden="1" customWidth="1"/>
    <col min="11" max="16" width="9.140625" hidden="1" customWidth="1"/>
    <col min="17" max="17" width="30.28515625" hidden="1" customWidth="1"/>
    <col min="18" max="18" width="9.140625" hidden="1" customWidth="1"/>
    <col min="19" max="19" width="16.5703125" hidden="1" customWidth="1"/>
    <col min="20" max="20" width="11.85546875" hidden="1" customWidth="1"/>
    <col min="21" max="21" width="22.85546875" hidden="1" customWidth="1"/>
    <col min="22" max="22" width="22.42578125" hidden="1" customWidth="1"/>
    <col min="23" max="26" width="9.140625" hidden="1" customWidth="1"/>
    <col min="27" max="48" width="0" hidden="1" customWidth="1"/>
    <col min="49" max="16384" width="9.140625" hidden="1"/>
  </cols>
  <sheetData>
    <row r="1" spans="1:28" ht="12.75" customHeight="1" x14ac:dyDescent="0.25">
      <c r="A1" s="737" t="s">
        <v>108</v>
      </c>
      <c r="B1" s="738"/>
      <c r="C1" s="738"/>
      <c r="D1" s="738"/>
      <c r="E1" s="738"/>
      <c r="F1" s="738"/>
      <c r="G1" s="738"/>
      <c r="H1" s="738"/>
      <c r="I1" s="739"/>
      <c r="J1" s="88"/>
      <c r="K1" s="58"/>
      <c r="L1" s="88"/>
      <c r="M1" s="88"/>
      <c r="N1" s="88">
        <f>IF(AND(H5&lt;=20,H5&gt;=0),'Wetlands Parts I-III'!F22*0.5,IF(AND(H5&gt;=21,H5&lt;=30),'Wetlands Parts I-III'!F22*0.4,IF(AND(H5&lt;=40,H5&gt;=31),'Wetlands Parts I-III'!F22*0.3,IF(AND(H5&lt;=50,H5&gt;=41),'Wetlands Parts I-III'!F22*0.2,IF(AND(H5&lt;=100,H5&gt;=51),'Wetlands Parts I-III'!F22*0.1,IF(OR(H5&gt;100,H5="perpetual"),0,0))))))</f>
        <v>0</v>
      </c>
      <c r="O1" s="88">
        <f>IF(AND(H5&lt;=20,H5&gt;=0),('Stream Parts I-II'!D27+'Stream Parts I-II'!E39+'Stream Parts I-II'!D44)/3*0.5,IF(AND(H5&gt;=21,H5&lt;=30),('Stream Parts I-II'!D27+'Stream Parts I-II'!E39+'Stream Parts I-II'!D44)/3*0.4,IF(AND(H5&lt;=40,H5&gt;=31),('Stream Parts I-II'!D27+'Stream Parts I-II'!E39+'Stream Parts I-II'!D44)/3*0.3,IF(AND(H5&lt;=50,H5&gt;=41),('Stream Parts I-II'!D27+'Stream Parts I-II'!E39/200+'Stream Parts I-II'!D44)*0.2,IF(AND(H5&lt;=100,H5&gt;=51),('Stream Parts I-II'!D27+'Stream Parts I-II'!E39+'Stream Parts I-II'!D44)/3*0.1,IF(OR(H5&gt;100,H5="perpetual"),0,0))))))</f>
        <v>0</v>
      </c>
      <c r="P1" s="88"/>
      <c r="Q1" s="787" t="s">
        <v>326</v>
      </c>
      <c r="R1" s="787"/>
      <c r="S1" s="787"/>
      <c r="T1" s="787"/>
      <c r="U1" s="787"/>
      <c r="V1" s="787"/>
      <c r="W1" s="787"/>
      <c r="X1" s="787"/>
      <c r="Y1" s="337"/>
      <c r="Z1" s="337"/>
      <c r="AA1" s="8"/>
      <c r="AB1" s="8"/>
    </row>
    <row r="2" spans="1:28" ht="25.5" customHeight="1" x14ac:dyDescent="0.2">
      <c r="A2" s="740"/>
      <c r="B2" s="741"/>
      <c r="C2" s="741"/>
      <c r="D2" s="741"/>
      <c r="E2" s="741"/>
      <c r="F2" s="741"/>
      <c r="G2" s="741"/>
      <c r="H2" s="741"/>
      <c r="I2" s="742"/>
      <c r="J2" s="88"/>
      <c r="K2" s="88"/>
      <c r="L2" s="88"/>
      <c r="M2" s="88"/>
      <c r="N2" s="88"/>
      <c r="O2" s="88"/>
      <c r="P2" s="88"/>
      <c r="Q2" s="649" t="s">
        <v>188</v>
      </c>
      <c r="R2" s="649"/>
      <c r="S2" s="649"/>
      <c r="T2" s="649"/>
      <c r="U2" s="649"/>
      <c r="V2" s="649"/>
      <c r="W2" s="649"/>
      <c r="X2" s="649"/>
      <c r="Y2" s="337"/>
      <c r="Z2" s="337"/>
      <c r="AA2" s="106"/>
      <c r="AB2" s="8"/>
    </row>
    <row r="3" spans="1:28" ht="51" x14ac:dyDescent="0.2">
      <c r="A3" s="715" t="s">
        <v>90</v>
      </c>
      <c r="B3" s="716"/>
      <c r="C3" s="716"/>
      <c r="D3" s="717"/>
      <c r="E3" s="54"/>
      <c r="F3" s="715" t="s">
        <v>19</v>
      </c>
      <c r="G3" s="716"/>
      <c r="H3" s="716"/>
      <c r="I3" s="717"/>
      <c r="J3" s="88"/>
      <c r="K3" s="88"/>
      <c r="L3" s="88">
        <f>IF(C6&lt;=1,0,C6*3/100*'Wetlands Parts I-III'!F22)</f>
        <v>2.4E-2</v>
      </c>
      <c r="M3" s="88">
        <f>IF(AND(C17&lt;=10,C17&gt;5),('Wetlands Parts I-III'!F22*0.1),IF(AND(C17&lt;=15,C17&gt;10),('Wetlands Parts I-III'!F22*0.2),IF((C17&gt;15),('Wetlands Parts I-III'!F22*0.3),0)))</f>
        <v>4.0000000000000008E-2</v>
      </c>
      <c r="N3" s="88">
        <f>IF(AND(H5&lt;=20,H5&gt;=0),'Wetlands Parts I-III'!F22*0.5,IF(AND(H5&gt;=21,H5&lt;=30),'Wetlands Parts I-III'!F22*0.4,IF(AND(H5&lt;=40,H5&gt;=31),'Wetlands Parts I-III'!F22*0.3,IF(AND(H5&lt;=50,H5&gt;=41),'Wetlands Parts I-III'!F22*0.2,IF(AND(H5&lt;=100,H5&gt;=51),'Wetlands Parts I-III'!F22*0.1,IF(OR(H5&gt;100,H5="perpetual"),0,0))))))</f>
        <v>0</v>
      </c>
      <c r="O3" s="88"/>
      <c r="P3" s="88"/>
      <c r="Q3" s="319"/>
      <c r="R3" s="326" t="s">
        <v>198</v>
      </c>
      <c r="S3" s="320" t="s">
        <v>206</v>
      </c>
      <c r="T3" s="327" t="s">
        <v>187</v>
      </c>
      <c r="U3" s="327" t="s">
        <v>164</v>
      </c>
      <c r="V3" s="327" t="s">
        <v>165</v>
      </c>
      <c r="W3" s="319"/>
      <c r="X3" s="323"/>
      <c r="Y3" s="337"/>
      <c r="Z3" s="337"/>
      <c r="AA3" s="106"/>
      <c r="AB3" s="8"/>
    </row>
    <row r="4" spans="1:28" x14ac:dyDescent="0.2">
      <c r="A4" s="729" t="s">
        <v>99</v>
      </c>
      <c r="B4" s="730"/>
      <c r="C4" s="730"/>
      <c r="D4" s="731"/>
      <c r="E4" s="56"/>
      <c r="F4" s="767" t="s">
        <v>49</v>
      </c>
      <c r="G4" s="768"/>
      <c r="H4" s="769" t="s">
        <v>43</v>
      </c>
      <c r="I4" s="770"/>
      <c r="J4" s="88"/>
      <c r="K4" s="88"/>
      <c r="L4" s="88">
        <f>IF(C6&lt;=1,0,C6*3/100*'Wetlands Parts I-III'!F23)</f>
        <v>0</v>
      </c>
      <c r="M4" s="88">
        <f>IF(AND(C17&lt;=10,C17&gt;5),('Wetlands Parts I-III'!F23*0.1),IF(AND(C17&lt;=15,C17&gt;10),('Wetlands Parts I-III'!F23*0.2),IF((C17&gt;15),('Wetlands Parts I-III'!F23*0.3),0)))</f>
        <v>0</v>
      </c>
      <c r="N4" s="88">
        <f>IF(AND(H5&lt;=20,H5&gt;=0),'Wetlands Parts I-III'!F23*0.5,IF(AND(H5&gt;=21,H5&lt;=30),'Wetlands Parts I-III'!F23*0.4,IF(AND(H5&lt;=40,H5&gt;=31),'Wetlands Parts I-III'!F23*0.3,IF(AND(H5&lt;=50,H5&gt;=41),'Wetlands Parts I-III'!F23*0.2,IF(AND(H5&lt;=100,H5&gt;=51),'Wetlands Parts I-III'!F23*0.1,IF(OR(H5&gt;100,H5="perpetual"),0,0))))))</f>
        <v>0</v>
      </c>
      <c r="O4" s="88"/>
      <c r="P4" s="88"/>
      <c r="Q4" s="357" t="s">
        <v>155</v>
      </c>
      <c r="R4" s="327">
        <f>IF(OR(J16=0,J16="",J16&lt;0),0,(J16-0))</f>
        <v>50</v>
      </c>
      <c r="S4" s="324">
        <f>50-R16</f>
        <v>50</v>
      </c>
      <c r="T4" s="327">
        <f>R4/S4</f>
        <v>1</v>
      </c>
      <c r="U4" s="327">
        <f>IF(H16="Preservation",T13/100*H30,IF(H16="Preservation and Supplemental Planting",T14/100*H30,IF(H16="Preservation and Re-vegetation",T15/100*H30,0)))</f>
        <v>0</v>
      </c>
      <c r="V4" s="327">
        <f>T4*U4</f>
        <v>0</v>
      </c>
      <c r="W4" s="319"/>
      <c r="X4" s="319"/>
      <c r="Y4" s="337"/>
      <c r="Z4" s="337"/>
      <c r="AA4" s="106"/>
      <c r="AB4" s="8"/>
    </row>
    <row r="5" spans="1:28" x14ac:dyDescent="0.2">
      <c r="A5" s="732"/>
      <c r="B5" s="733"/>
      <c r="C5" s="733"/>
      <c r="D5" s="734"/>
      <c r="E5" s="54"/>
      <c r="F5" s="576" t="str">
        <f>IF(AND(H5&lt;=20,H5&gt;=0),"50% + 20 Year Monitoring",IF(AND(H5&gt;=21,H5&lt;=30),"40% + 15 Year Monitoring",IF(AND(H5&lt;=40,H5&gt;=31),"30% + 10 Year Monitoring",IF(AND(H5&lt;=50,H5&gt;=41),"20% + 5/10 Year Monitoring",IF(AND(H5&lt;=100,H5&gt;=51),"10% + 5/10 Year Monitoring",IF(OR(H5="perpetual",H5&gt;100),"0 + 5/10 Year Monitoring",0))))))</f>
        <v>0 + 5/10 Year Monitoring</v>
      </c>
      <c r="G5" s="577"/>
      <c r="H5" s="757">
        <v>101</v>
      </c>
      <c r="I5" s="758"/>
      <c r="J5" s="88"/>
      <c r="K5" s="88"/>
      <c r="L5" s="88">
        <f>IF(C6&lt;=1,0,C6*3/100*'Wetlands Parts I-III'!F24)</f>
        <v>0.09</v>
      </c>
      <c r="M5" s="88">
        <f>IF(AND(C17&lt;=10,C17&gt;5),('Wetlands Parts I-III'!F24*0.1),IF(AND(C17&lt;=15,C17&gt;10),('Wetlands Parts I-III'!F24*0.2),IF((C17&gt;15),('Wetlands Parts I-III'!F24*0.3),0)))</f>
        <v>0.15000000000000002</v>
      </c>
      <c r="N5" s="88">
        <f>IF(AND(H5&lt;=20,H5&gt;=0),'Wetlands Parts I-III'!F24*0.5,IF(AND(H5&gt;=21,H5&lt;=30),'Wetlands Parts I-III'!F24*0.4,IF(AND(H5&lt;=40,H5&gt;=31),'Wetlands Parts I-III'!F24*0.3,IF(AND(H5&lt;=50,H5&gt;=41),'Wetlands Parts I-III'!F24*0.2,IF(AND(H5&lt;=100,H5&gt;=51),'Wetlands Parts I-III'!F24*0.1,IF(OR(H5&gt;100,H5="perpetual"),0,0))))))</f>
        <v>0</v>
      </c>
      <c r="O5" s="88"/>
      <c r="P5" s="88"/>
      <c r="Q5" s="357" t="s">
        <v>155</v>
      </c>
      <c r="R5" s="327">
        <f>IF(OR(J17=0,J17="",J17&lt;50),0,(J17-50))</f>
        <v>100</v>
      </c>
      <c r="S5" s="324">
        <v>100</v>
      </c>
      <c r="T5" s="327">
        <f>R5/S5</f>
        <v>1</v>
      </c>
      <c r="U5" s="327">
        <f>IF(H17="Preservation",T13/200*H30,IF(H17="Preservation and Supplemental Planting",T14/200*H30,IF(H17="Preservation and Re-vegetation",T15/200*H30,0)))</f>
        <v>0</v>
      </c>
      <c r="V5" s="327">
        <f>T5*U5</f>
        <v>0</v>
      </c>
      <c r="W5" s="319"/>
      <c r="X5" s="319"/>
      <c r="Y5" s="337"/>
      <c r="Z5" s="337"/>
      <c r="AA5" s="106"/>
      <c r="AB5" s="8"/>
    </row>
    <row r="6" spans="1:28" x14ac:dyDescent="0.2">
      <c r="A6" s="574" t="s">
        <v>8</v>
      </c>
      <c r="B6" s="574"/>
      <c r="C6" s="766">
        <v>2</v>
      </c>
      <c r="D6" s="766"/>
      <c r="E6" s="57"/>
      <c r="F6" s="578"/>
      <c r="G6" s="579"/>
      <c r="H6" s="759"/>
      <c r="I6" s="760"/>
      <c r="J6" s="88"/>
      <c r="K6" s="88"/>
      <c r="L6" s="88">
        <f>IF(C6&lt;=1,0,C6*3/100*'Wetlands Parts I-III'!F25)</f>
        <v>0</v>
      </c>
      <c r="M6" s="88">
        <f>IF(AND(C17&lt;=10,C17&gt;5),('Wetlands Parts I-III'!F25*0.1),IF(AND(C17&lt;=15,C17&gt;10),('Wetlands Parts I-III'!F25*0.2),IF((C17&gt;15),('Wetlands Parts I-III'!F25*0.3),0)))</f>
        <v>0</v>
      </c>
      <c r="N6" s="88">
        <f>IF(AND(H5&lt;=20,H5&gt;=0),'Wetlands Parts I-III'!F25*0.5,IF(AND(H5&gt;=21,H5&lt;=30),'Wetlands Parts I-III'!F25*0.4,IF(AND(H5&lt;=40,H5&gt;=31),'Wetlands Parts I-III'!F25*0.3,IF(AND(H5&lt;=50,H5&gt;=41),'Wetlands Parts I-III'!F25*0.2,IF(AND(H5&lt;=100,H5&gt;=51),'Wetlands Parts I-III'!F25*0.1,IF(OR(H5&gt;100,H5="perpetual"),0,0))))))</f>
        <v>0</v>
      </c>
      <c r="O6" s="88"/>
      <c r="P6" s="88"/>
      <c r="Q6" s="357"/>
      <c r="R6" s="327"/>
      <c r="S6" s="344"/>
      <c r="T6" s="327"/>
      <c r="U6" s="327"/>
      <c r="V6" s="327"/>
      <c r="W6" s="346"/>
      <c r="X6" s="346"/>
      <c r="Y6" s="337"/>
      <c r="Z6" s="337"/>
      <c r="AA6" s="106"/>
      <c r="AB6" s="8"/>
    </row>
    <row r="7" spans="1:28" x14ac:dyDescent="0.2">
      <c r="A7" s="574"/>
      <c r="B7" s="574"/>
      <c r="C7" s="766"/>
      <c r="D7" s="766"/>
      <c r="E7" s="57"/>
      <c r="F7" s="578"/>
      <c r="G7" s="579"/>
      <c r="H7" s="759"/>
      <c r="I7" s="760"/>
      <c r="J7" s="88"/>
      <c r="K7" s="88"/>
      <c r="L7" s="88"/>
      <c r="M7" s="88"/>
      <c r="N7" s="88"/>
      <c r="O7" s="88"/>
      <c r="P7" s="88"/>
      <c r="Q7" s="319"/>
      <c r="R7" s="326"/>
      <c r="S7" s="320"/>
      <c r="T7" s="327"/>
      <c r="U7" s="327"/>
      <c r="V7" s="327"/>
      <c r="W7" s="319"/>
      <c r="X7" s="323"/>
      <c r="Y7" s="337"/>
      <c r="Z7" s="337"/>
      <c r="AA7" s="106"/>
      <c r="AB7" s="8"/>
    </row>
    <row r="8" spans="1:28" x14ac:dyDescent="0.2">
      <c r="A8" s="574" t="s">
        <v>15</v>
      </c>
      <c r="B8" s="574"/>
      <c r="C8" s="718">
        <f>IF(C6&lt;=1,0,C6*3/100)</f>
        <v>0.06</v>
      </c>
      <c r="D8" s="719"/>
      <c r="E8" s="57"/>
      <c r="F8" s="578"/>
      <c r="G8" s="579"/>
      <c r="H8" s="759"/>
      <c r="I8" s="760"/>
      <c r="J8" s="88"/>
      <c r="K8" s="88"/>
      <c r="L8" s="88"/>
      <c r="M8" s="88"/>
      <c r="N8" s="88"/>
      <c r="O8" s="88"/>
      <c r="P8" s="88"/>
      <c r="Q8" s="319"/>
      <c r="R8" s="327"/>
      <c r="S8" s="324"/>
      <c r="T8" s="327"/>
      <c r="U8" s="327"/>
      <c r="V8" s="327"/>
      <c r="W8" s="319"/>
      <c r="X8" s="319"/>
      <c r="Y8" s="337"/>
      <c r="Z8" s="337"/>
      <c r="AA8" s="106"/>
      <c r="AB8" s="8"/>
    </row>
    <row r="9" spans="1:28" ht="13.5" thickBot="1" x14ac:dyDescent="0.25">
      <c r="A9" s="55"/>
      <c r="B9" s="55"/>
      <c r="C9" s="55"/>
      <c r="D9" s="55"/>
      <c r="E9" s="57"/>
      <c r="F9" s="578"/>
      <c r="G9" s="579"/>
      <c r="H9" s="759"/>
      <c r="I9" s="760"/>
      <c r="J9" s="88"/>
      <c r="K9" s="88"/>
      <c r="L9" s="88"/>
      <c r="M9" s="88"/>
      <c r="N9" s="88"/>
      <c r="O9" s="88"/>
      <c r="P9" s="88"/>
      <c r="Q9" s="319" t="s">
        <v>322</v>
      </c>
      <c r="R9" s="319" t="e">
        <f>IF(V4&gt;R13/100*H30,R13/100,V4/H30)</f>
        <v>#DIV/0!</v>
      </c>
      <c r="S9" s="324"/>
      <c r="T9" s="327"/>
      <c r="U9" s="327"/>
      <c r="V9" s="327"/>
      <c r="W9" s="319"/>
      <c r="X9" s="319"/>
      <c r="Y9" s="337"/>
      <c r="Z9" s="337"/>
      <c r="AA9" s="106"/>
      <c r="AB9" s="8"/>
    </row>
    <row r="10" spans="1:28" x14ac:dyDescent="0.2">
      <c r="A10" s="763" t="s">
        <v>7</v>
      </c>
      <c r="B10" s="764"/>
      <c r="C10" s="764"/>
      <c r="D10" s="765"/>
      <c r="E10" s="57"/>
      <c r="F10" s="580"/>
      <c r="G10" s="581"/>
      <c r="H10" s="761"/>
      <c r="I10" s="762"/>
      <c r="J10" s="88"/>
      <c r="K10" s="88"/>
      <c r="L10" s="88"/>
      <c r="M10" s="88"/>
      <c r="N10" s="88"/>
      <c r="O10" s="88"/>
      <c r="P10" s="88"/>
      <c r="Q10" s="319" t="s">
        <v>333</v>
      </c>
      <c r="R10" s="319" t="e">
        <f>IF(V5&gt;R14/100*H30,R14/100,V5/H30)</f>
        <v>#DIV/0!</v>
      </c>
      <c r="S10" s="319"/>
      <c r="T10" s="319"/>
      <c r="U10" s="319"/>
      <c r="V10" s="319"/>
      <c r="W10" s="319"/>
      <c r="X10" s="319"/>
      <c r="Y10" s="337"/>
      <c r="Z10" s="337"/>
      <c r="AA10" s="106"/>
      <c r="AB10" s="8"/>
    </row>
    <row r="11" spans="1:28" x14ac:dyDescent="0.2">
      <c r="A11" s="720" t="s">
        <v>100</v>
      </c>
      <c r="B11" s="721"/>
      <c r="C11" s="721"/>
      <c r="D11" s="722"/>
      <c r="E11" s="57"/>
      <c r="F11" s="609" t="s">
        <v>15</v>
      </c>
      <c r="G11" s="610"/>
      <c r="H11" s="718">
        <f>IF('Stream Parts I-II'!D44=0,N1,O1)</f>
        <v>0</v>
      </c>
      <c r="I11" s="719"/>
      <c r="J11" s="88"/>
      <c r="K11" s="88"/>
      <c r="L11" s="88"/>
      <c r="M11" s="88"/>
      <c r="N11" s="88"/>
      <c r="O11" s="88"/>
      <c r="P11" s="88"/>
      <c r="Q11" s="319"/>
      <c r="R11" s="319"/>
      <c r="S11" s="319"/>
      <c r="T11" s="319"/>
      <c r="U11" s="319"/>
      <c r="V11" s="332" t="s">
        <v>320</v>
      </c>
      <c r="W11" s="317"/>
      <c r="X11" s="319"/>
      <c r="Y11" s="337"/>
      <c r="Z11" s="337"/>
      <c r="AA11" s="106"/>
      <c r="AB11" s="8"/>
    </row>
    <row r="12" spans="1:28" x14ac:dyDescent="0.2">
      <c r="A12" s="723"/>
      <c r="B12" s="724"/>
      <c r="C12" s="724"/>
      <c r="D12" s="725"/>
      <c r="J12" s="88"/>
      <c r="K12" s="88"/>
      <c r="L12" s="88"/>
      <c r="M12" s="88"/>
      <c r="N12" s="88"/>
      <c r="O12" s="88"/>
      <c r="P12" s="88"/>
      <c r="Q12" s="332" t="s">
        <v>183</v>
      </c>
      <c r="R12" s="334" t="e">
        <f>SUM(R9:R10)</f>
        <v>#DIV/0!</v>
      </c>
      <c r="S12" s="319"/>
      <c r="T12" s="319" t="s">
        <v>200</v>
      </c>
      <c r="U12" s="319"/>
      <c r="V12" s="332" t="e">
        <f>H30*R12</f>
        <v>#DIV/0!</v>
      </c>
      <c r="W12" s="317"/>
      <c r="X12" s="319"/>
      <c r="Y12" s="337"/>
      <c r="Z12" s="337"/>
      <c r="AA12" s="106"/>
      <c r="AB12" s="8"/>
    </row>
    <row r="13" spans="1:28" ht="12.75" customHeight="1" x14ac:dyDescent="0.2">
      <c r="A13" s="723"/>
      <c r="B13" s="724"/>
      <c r="C13" s="724"/>
      <c r="D13" s="725"/>
      <c r="F13" s="613" t="s">
        <v>344</v>
      </c>
      <c r="G13" s="614"/>
      <c r="H13" s="614"/>
      <c r="I13" s="615"/>
      <c r="J13" s="338"/>
      <c r="K13" s="88"/>
      <c r="L13" s="88"/>
      <c r="M13" s="88"/>
      <c r="N13" s="88"/>
      <c r="O13" s="88"/>
      <c r="P13" s="88"/>
      <c r="Q13" s="317" t="s">
        <v>334</v>
      </c>
      <c r="R13" s="317">
        <v>17.5</v>
      </c>
      <c r="S13" s="335" t="s">
        <v>140</v>
      </c>
      <c r="T13" s="319">
        <v>10</v>
      </c>
      <c r="U13" s="319"/>
      <c r="V13" s="319"/>
      <c r="W13" s="319"/>
      <c r="X13" s="319"/>
      <c r="Y13" s="337"/>
      <c r="Z13" s="337"/>
      <c r="AA13" s="106"/>
      <c r="AB13" s="8"/>
    </row>
    <row r="14" spans="1:28" x14ac:dyDescent="0.2">
      <c r="A14" s="726"/>
      <c r="B14" s="727"/>
      <c r="C14" s="727"/>
      <c r="D14" s="728"/>
      <c r="F14" s="616"/>
      <c r="G14" s="617"/>
      <c r="H14" s="617"/>
      <c r="I14" s="618"/>
      <c r="J14" s="338"/>
      <c r="K14" s="88"/>
      <c r="L14" s="88"/>
      <c r="M14" s="88"/>
      <c r="N14" s="88"/>
      <c r="O14" s="88"/>
      <c r="P14" s="88"/>
      <c r="Q14" s="317" t="s">
        <v>335</v>
      </c>
      <c r="R14" s="317">
        <v>8.75</v>
      </c>
      <c r="S14" s="335" t="s">
        <v>153</v>
      </c>
      <c r="T14" s="319">
        <v>20</v>
      </c>
      <c r="U14" s="319"/>
      <c r="V14" s="319"/>
      <c r="W14" s="319"/>
      <c r="X14" s="319"/>
      <c r="Y14" s="337"/>
      <c r="Z14" s="337"/>
      <c r="AA14" s="106"/>
      <c r="AB14" s="8"/>
    </row>
    <row r="15" spans="1:28" x14ac:dyDescent="0.2">
      <c r="A15" s="743" t="s">
        <v>18</v>
      </c>
      <c r="B15" s="744"/>
      <c r="C15" s="747" t="s">
        <v>44</v>
      </c>
      <c r="D15" s="748"/>
      <c r="F15" s="345" t="s">
        <v>331</v>
      </c>
      <c r="G15" s="629" t="s">
        <v>345</v>
      </c>
      <c r="H15" s="630"/>
      <c r="I15" s="631"/>
      <c r="J15" s="340"/>
      <c r="K15" s="88"/>
      <c r="L15" s="88"/>
      <c r="M15" s="88"/>
      <c r="N15" s="88"/>
      <c r="O15" s="88"/>
      <c r="P15" s="88"/>
      <c r="Q15" s="317" t="s">
        <v>185</v>
      </c>
      <c r="R15" s="317">
        <v>0</v>
      </c>
      <c r="S15" s="335" t="s">
        <v>152</v>
      </c>
      <c r="T15" s="319">
        <v>35</v>
      </c>
      <c r="U15" s="319"/>
      <c r="V15" s="319"/>
      <c r="W15" s="319"/>
      <c r="X15" s="319"/>
      <c r="Y15" s="337"/>
      <c r="Z15" s="337"/>
      <c r="AA15" s="106"/>
      <c r="AB15" s="8"/>
    </row>
    <row r="16" spans="1:28" ht="12.75" customHeight="1" x14ac:dyDescent="0.25">
      <c r="A16" s="745"/>
      <c r="B16" s="746"/>
      <c r="C16" s="749"/>
      <c r="D16" s="750"/>
      <c r="F16" s="794">
        <v>150</v>
      </c>
      <c r="G16" s="354" t="str">
        <f>IF(D51=25,"26-50","0-50")</f>
        <v>0-50</v>
      </c>
      <c r="H16" s="791" t="s">
        <v>152</v>
      </c>
      <c r="I16" s="791"/>
      <c r="J16" s="341">
        <f>IF(F16&gt;50,50,F16)</f>
        <v>50</v>
      </c>
      <c r="K16" s="329" t="s">
        <v>154</v>
      </c>
      <c r="L16" s="88"/>
      <c r="M16" s="88"/>
      <c r="N16" s="88"/>
      <c r="O16" s="88"/>
      <c r="P16" s="88"/>
      <c r="Q16" s="337"/>
      <c r="R16" s="337"/>
      <c r="S16" s="337"/>
      <c r="T16" s="337"/>
      <c r="U16" s="337"/>
      <c r="V16" s="337"/>
      <c r="W16" s="337"/>
      <c r="X16" s="337"/>
      <c r="Y16" s="337"/>
      <c r="Z16" s="337"/>
      <c r="AA16" s="106"/>
      <c r="AB16" s="8"/>
    </row>
    <row r="17" spans="1:28" ht="12.75" customHeight="1" x14ac:dyDescent="0.25">
      <c r="A17" s="751" t="str">
        <f>IF(AND(C17&lt;=5,C17&gt;=0),"0%",IF(AND(C17&lt;=10,C17&gt;5),"10%",IF(AND(C17&lt;=15,C17&gt;10),"20%",IF(AND(C17&gt;15),"30%","0%"))))</f>
        <v>10%</v>
      </c>
      <c r="B17" s="752"/>
      <c r="C17" s="757">
        <v>10</v>
      </c>
      <c r="D17" s="758"/>
      <c r="F17" s="795"/>
      <c r="G17" s="355" t="s">
        <v>190</v>
      </c>
      <c r="H17" s="792" t="s">
        <v>140</v>
      </c>
      <c r="I17" s="792"/>
      <c r="J17" s="341">
        <f>IF(F16&gt;150,150,IF(F16&gt;50,F16,0))</f>
        <v>150</v>
      </c>
      <c r="K17" s="331" t="s">
        <v>140</v>
      </c>
      <c r="L17" s="88"/>
      <c r="M17" s="88"/>
      <c r="N17" s="88"/>
      <c r="O17" s="88"/>
      <c r="P17" s="88"/>
      <c r="Q17" s="337"/>
      <c r="R17" s="337"/>
      <c r="S17" s="337"/>
      <c r="T17" s="337"/>
      <c r="U17" s="337"/>
      <c r="V17" s="337"/>
      <c r="W17" s="337"/>
      <c r="X17" s="337"/>
      <c r="Y17" s="337"/>
      <c r="Z17" s="337"/>
      <c r="AA17" s="106"/>
      <c r="AB17" s="8"/>
    </row>
    <row r="18" spans="1:28" ht="12.75" customHeight="1" x14ac:dyDescent="0.25">
      <c r="A18" s="753"/>
      <c r="B18" s="754"/>
      <c r="C18" s="759"/>
      <c r="D18" s="760"/>
      <c r="F18" s="356"/>
      <c r="G18" s="353" t="s">
        <v>332</v>
      </c>
      <c r="H18" s="793" t="s">
        <v>152</v>
      </c>
      <c r="I18" s="793"/>
      <c r="J18" s="341"/>
      <c r="K18" s="331" t="s">
        <v>153</v>
      </c>
      <c r="L18" s="88"/>
      <c r="M18" s="88"/>
      <c r="N18" s="88"/>
      <c r="O18" s="88"/>
      <c r="P18" s="88"/>
      <c r="Q18" s="337"/>
      <c r="R18" s="337"/>
      <c r="S18" s="337"/>
      <c r="T18" s="337"/>
      <c r="U18" s="337"/>
      <c r="V18" s="337"/>
      <c r="W18" s="337"/>
      <c r="X18" s="337"/>
      <c r="Y18" s="337"/>
      <c r="Z18" s="337"/>
      <c r="AA18" s="106"/>
      <c r="AB18" s="8"/>
    </row>
    <row r="19" spans="1:28" ht="12.75" customHeight="1" x14ac:dyDescent="0.25">
      <c r="A19" s="753"/>
      <c r="B19" s="754"/>
      <c r="C19" s="759"/>
      <c r="D19" s="760"/>
      <c r="F19" s="788"/>
      <c r="G19" s="350"/>
      <c r="H19" s="790"/>
      <c r="I19" s="790"/>
      <c r="J19" s="341"/>
      <c r="K19" s="331" t="s">
        <v>152</v>
      </c>
      <c r="L19" s="88"/>
      <c r="M19" s="88"/>
      <c r="N19" s="88"/>
      <c r="O19" s="88"/>
      <c r="P19" s="88"/>
      <c r="Q19" s="337"/>
      <c r="R19" s="337"/>
      <c r="S19" s="337"/>
      <c r="T19" s="337"/>
      <c r="U19" s="337"/>
      <c r="V19" s="337"/>
      <c r="W19" s="337"/>
      <c r="X19" s="337"/>
      <c r="Y19" s="337"/>
      <c r="Z19" s="337"/>
      <c r="AA19" s="106"/>
      <c r="AB19" s="8"/>
    </row>
    <row r="20" spans="1:28" ht="12.75" customHeight="1" x14ac:dyDescent="0.25">
      <c r="A20" s="755"/>
      <c r="B20" s="756"/>
      <c r="C20" s="761"/>
      <c r="D20" s="762"/>
      <c r="F20" s="788"/>
      <c r="G20" s="350"/>
      <c r="H20" s="790"/>
      <c r="I20" s="790"/>
      <c r="J20" s="341"/>
      <c r="K20" s="88"/>
      <c r="L20" s="88"/>
      <c r="M20" s="88"/>
      <c r="N20" s="88"/>
      <c r="O20" s="88"/>
      <c r="P20" s="88"/>
      <c r="Q20" s="337"/>
      <c r="R20" s="337"/>
      <c r="S20" s="337"/>
      <c r="T20" s="337"/>
      <c r="U20" s="337"/>
      <c r="V20" s="337"/>
      <c r="W20" s="337"/>
      <c r="X20" s="337"/>
      <c r="Y20" s="337"/>
      <c r="Z20" s="337"/>
      <c r="AA20" s="106"/>
      <c r="AB20" s="8"/>
    </row>
    <row r="21" spans="1:28" ht="12.75" customHeight="1" x14ac:dyDescent="0.2">
      <c r="A21" s="771" t="s">
        <v>15</v>
      </c>
      <c r="B21" s="772"/>
      <c r="C21" s="718">
        <f>IF('Stream Parts I-II'!D44=0,C22,D22)</f>
        <v>7.7833333333333338E-2</v>
      </c>
      <c r="D21" s="719"/>
      <c r="F21" s="351"/>
      <c r="G21" s="352"/>
      <c r="H21" s="789"/>
      <c r="I21" s="789"/>
      <c r="J21" s="229"/>
      <c r="K21" s="88"/>
      <c r="L21" s="88"/>
      <c r="M21" s="88"/>
      <c r="N21" s="88"/>
      <c r="O21" s="88"/>
      <c r="P21" s="88"/>
      <c r="Q21" s="337"/>
      <c r="R21" s="337"/>
      <c r="S21" s="337"/>
      <c r="T21" s="337"/>
      <c r="U21" s="337"/>
      <c r="V21" s="337"/>
      <c r="W21" s="337"/>
      <c r="X21" s="337"/>
      <c r="Y21" s="337"/>
      <c r="Z21" s="337"/>
      <c r="AA21" s="106"/>
      <c r="AB21" s="8"/>
    </row>
    <row r="22" spans="1:28" x14ac:dyDescent="0.2">
      <c r="A22" s="55"/>
      <c r="B22" s="55"/>
      <c r="C22" s="40">
        <f>IF(AND(C17&lt;=10,C17&gt;5),('Wetlands Parts I-III'!F22*0.1),IF(AND(C17&lt;=15,C17&gt;10),('Wetlands Parts I-III'!F22*0.2),IF((C17&gt;15),('Wetlands Parts I-III'!F22*0.3),0)))</f>
        <v>4.0000000000000008E-2</v>
      </c>
      <c r="D22" s="40">
        <f>IF(AND(C17&lt;=5,C17&gt;0),('Stream Parts I-II'!D27+'Stream Parts I-II'!E39+'Stream Parts I-II'!D44)*0,IF(AND(C17&lt;=10,C17&gt;5),('Stream Parts I-II'!D27+'Stream Parts I-II'!E39+'Stream Parts I-II'!D44)/3*0.1,IF(AND(C17&lt;=15,C17&gt;10),('Stream Parts I-II'!D27+'Stream Parts I-II'!E39+'Stream Parts I-II'!D44)/3*0.2,IF(AND(C17&lt;=20,C17&gt;15),('Stream Parts I-II'!D27+'Stream Parts I-II'!E39+'Stream Parts I-II'!D44)/3*0.3,0))))</f>
        <v>7.7833333333333338E-2</v>
      </c>
      <c r="F22" s="351"/>
      <c r="G22" s="352"/>
      <c r="H22" s="178"/>
      <c r="I22" s="178"/>
      <c r="J22" s="230"/>
      <c r="K22" s="88"/>
      <c r="L22" s="88"/>
      <c r="M22" s="88"/>
      <c r="N22" s="88"/>
      <c r="O22" s="88"/>
      <c r="P22" s="88"/>
      <c r="Q22" s="337"/>
      <c r="R22" s="337"/>
      <c r="S22" s="337"/>
      <c r="T22" s="337"/>
      <c r="U22" s="337"/>
      <c r="V22" s="337"/>
      <c r="W22" s="337"/>
      <c r="X22" s="337"/>
      <c r="Y22" s="337"/>
      <c r="Z22" s="337"/>
      <c r="AA22" s="106"/>
      <c r="AB22" s="8"/>
    </row>
    <row r="23" spans="1:28" ht="15" x14ac:dyDescent="0.2">
      <c r="A23" s="773" t="s">
        <v>105</v>
      </c>
      <c r="B23" s="773"/>
      <c r="C23" s="773"/>
      <c r="D23" s="773"/>
      <c r="E23" s="773"/>
      <c r="F23" s="773"/>
      <c r="G23" s="773"/>
      <c r="H23" s="773"/>
      <c r="I23" s="773"/>
      <c r="J23" s="55"/>
      <c r="K23" s="88"/>
      <c r="L23" s="88"/>
      <c r="M23" s="88"/>
      <c r="N23" s="88"/>
      <c r="O23" s="88"/>
      <c r="P23" s="88"/>
      <c r="Q23" s="337"/>
      <c r="R23" s="337"/>
      <c r="S23" s="337"/>
      <c r="T23" s="337"/>
      <c r="U23" s="337"/>
      <c r="V23" s="337"/>
      <c r="W23" s="337"/>
      <c r="X23" s="337"/>
      <c r="Y23" s="337"/>
      <c r="Z23" s="337"/>
      <c r="AA23" s="106"/>
      <c r="AB23" s="8"/>
    </row>
    <row r="24" spans="1:28" ht="30.75" customHeight="1" x14ac:dyDescent="0.25">
      <c r="A24" s="95" t="s">
        <v>102</v>
      </c>
      <c r="B24" s="556" t="s">
        <v>330</v>
      </c>
      <c r="C24" s="593"/>
      <c r="D24" s="778" t="s">
        <v>103</v>
      </c>
      <c r="E24" s="779"/>
      <c r="F24" s="783" t="s">
        <v>329</v>
      </c>
      <c r="G24" s="783"/>
      <c r="H24" s="96" t="s">
        <v>328</v>
      </c>
      <c r="I24" s="96" t="s">
        <v>115</v>
      </c>
      <c r="J24" s="55"/>
      <c r="K24" s="88"/>
      <c r="L24" s="88"/>
      <c r="M24" s="88"/>
      <c r="N24" s="88"/>
      <c r="O24" s="88"/>
      <c r="P24" s="88"/>
      <c r="Q24" s="337"/>
      <c r="R24" s="337"/>
      <c r="S24" s="337"/>
      <c r="T24" s="337"/>
      <c r="U24" s="337"/>
      <c r="V24" s="337" t="s">
        <v>142</v>
      </c>
      <c r="W24" s="337"/>
      <c r="X24" s="337"/>
      <c r="Y24" s="337"/>
      <c r="Z24" s="337"/>
      <c r="AA24" s="106"/>
      <c r="AB24" s="8"/>
    </row>
    <row r="25" spans="1:28" ht="15" x14ac:dyDescent="0.25">
      <c r="A25" s="97" t="s">
        <v>64</v>
      </c>
      <c r="B25" s="735">
        <f>'Wetlands Parts I-III'!F22</f>
        <v>0.4</v>
      </c>
      <c r="C25" s="736"/>
      <c r="D25" s="780" t="s">
        <v>141</v>
      </c>
      <c r="E25" s="781"/>
      <c r="F25" s="777">
        <f>IF(D25="Preservation",(L3+M3+N3+'Wetlands Parts I-III'!F22)*10,(L3+M3+N3+'Wetlands Parts I-III'!F22))</f>
        <v>0.46400000000000002</v>
      </c>
      <c r="G25" s="777"/>
      <c r="H25" s="102"/>
      <c r="I25" s="100">
        <f>H25-F25</f>
        <v>-0.46400000000000002</v>
      </c>
      <c r="J25" s="101"/>
      <c r="K25" s="88"/>
      <c r="L25" s="88"/>
      <c r="M25" s="88"/>
      <c r="N25" s="88"/>
      <c r="O25" s="88"/>
      <c r="P25" s="88"/>
      <c r="Q25" s="337"/>
      <c r="R25" s="337"/>
      <c r="S25" s="337"/>
      <c r="T25" s="337"/>
      <c r="U25" s="337"/>
      <c r="V25" s="337" t="s">
        <v>140</v>
      </c>
      <c r="W25" s="6" t="s">
        <v>52</v>
      </c>
      <c r="X25" s="337"/>
      <c r="Y25" s="337"/>
      <c r="Z25" s="337"/>
      <c r="AA25" s="106"/>
      <c r="AB25" s="8"/>
    </row>
    <row r="26" spans="1:28" ht="15" x14ac:dyDescent="0.25">
      <c r="A26" s="98" t="s">
        <v>65</v>
      </c>
      <c r="B26" s="735">
        <f>'Wetlands Parts I-III'!F23</f>
        <v>0</v>
      </c>
      <c r="C26" s="736"/>
      <c r="D26" s="780"/>
      <c r="E26" s="781"/>
      <c r="F26" s="777">
        <f>IF(D25="Preservation",(L4+M4+N4+'Wetlands Parts I-III'!F23)*15,L4+M4+N4+'Wetlands Parts I-III'!F23)</f>
        <v>0</v>
      </c>
      <c r="G26" s="777"/>
      <c r="H26" s="343"/>
      <c r="I26" s="342">
        <f>H26-F26</f>
        <v>0</v>
      </c>
      <c r="J26" s="101"/>
      <c r="K26" s="88"/>
      <c r="L26" s="88"/>
      <c r="M26" s="88"/>
      <c r="N26" s="88"/>
      <c r="O26" s="88"/>
      <c r="P26" s="88"/>
      <c r="Q26" s="337"/>
      <c r="R26" s="337"/>
      <c r="S26" s="337"/>
      <c r="T26" s="337"/>
      <c r="U26" s="337"/>
      <c r="V26" s="337" t="s">
        <v>141</v>
      </c>
      <c r="W26" s="6" t="s">
        <v>50</v>
      </c>
      <c r="X26" s="337"/>
      <c r="Y26" s="337"/>
      <c r="Z26" s="337"/>
      <c r="AA26" s="106"/>
      <c r="AB26" s="8"/>
    </row>
    <row r="27" spans="1:28" ht="15" x14ac:dyDescent="0.25">
      <c r="A27" s="98" t="s">
        <v>66</v>
      </c>
      <c r="B27" s="735">
        <f>'Wetlands Parts I-III'!F24</f>
        <v>1.5</v>
      </c>
      <c r="C27" s="736"/>
      <c r="D27" s="780"/>
      <c r="E27" s="781"/>
      <c r="F27" s="777">
        <f>IF(D25="Preservation",(L5+M5+N5+'Wetlands Parts I-III'!F24)*15,L5+M5+N5+'Wetlands Parts I-III'!F24)</f>
        <v>1.74</v>
      </c>
      <c r="G27" s="777"/>
      <c r="H27" s="343"/>
      <c r="I27" s="342">
        <f>H27-F27</f>
        <v>-1.74</v>
      </c>
      <c r="J27" s="101"/>
      <c r="K27" s="88"/>
      <c r="L27" s="88"/>
      <c r="M27" s="88"/>
      <c r="N27" s="88"/>
      <c r="O27" s="88"/>
      <c r="P27" s="88"/>
      <c r="Q27" s="337"/>
      <c r="R27" s="337"/>
      <c r="S27" s="337"/>
      <c r="T27" s="337"/>
      <c r="U27" s="337"/>
      <c r="V27" s="337"/>
      <c r="W27" s="339" t="s">
        <v>88</v>
      </c>
      <c r="X27" s="337"/>
      <c r="Y27" s="337"/>
      <c r="Z27" s="337"/>
      <c r="AA27" s="106"/>
      <c r="AB27" s="8"/>
    </row>
    <row r="28" spans="1:28" ht="15" x14ac:dyDescent="0.25">
      <c r="A28" s="97" t="s">
        <v>98</v>
      </c>
      <c r="B28" s="735">
        <f>'Wetlands Parts I-III'!F25</f>
        <v>0</v>
      </c>
      <c r="C28" s="736"/>
      <c r="D28" s="780"/>
      <c r="E28" s="781"/>
      <c r="F28" s="777">
        <f>IF(D25="Preservation",(L6+M6+N6+'Wetlands Parts I-III'!F25)*5,L6+M6+N6+'Wetlands Parts I-III'!F25)</f>
        <v>0</v>
      </c>
      <c r="G28" s="777"/>
      <c r="H28" s="343"/>
      <c r="I28" s="342">
        <f>H28-F28</f>
        <v>0</v>
      </c>
      <c r="J28" s="101"/>
      <c r="K28" s="88"/>
      <c r="L28" s="88"/>
      <c r="M28" s="88"/>
      <c r="N28" s="88"/>
      <c r="O28" s="88"/>
      <c r="P28" s="88"/>
      <c r="Q28" s="337"/>
      <c r="R28" s="337"/>
      <c r="S28" s="337"/>
      <c r="T28" s="337"/>
      <c r="U28" s="337"/>
      <c r="V28" s="337"/>
      <c r="W28" s="339" t="s">
        <v>89</v>
      </c>
      <c r="X28" s="337"/>
      <c r="Y28" s="337"/>
      <c r="Z28" s="337"/>
      <c r="AA28" s="106"/>
      <c r="AB28" s="8"/>
    </row>
    <row r="29" spans="1:28" ht="15" x14ac:dyDescent="0.25">
      <c r="A29" s="99" t="s">
        <v>104</v>
      </c>
      <c r="B29" s="774">
        <f>SUM(B25:C28)</f>
        <v>1.9</v>
      </c>
      <c r="C29" s="775"/>
      <c r="D29" s="782"/>
      <c r="E29" s="782"/>
      <c r="F29" s="784">
        <f>SUM(F25:G28)</f>
        <v>2.2040000000000002</v>
      </c>
      <c r="G29" s="774"/>
      <c r="H29" s="395" t="e">
        <f>H30+V12</f>
        <v>#DIV/0!</v>
      </c>
      <c r="I29" s="342" t="e">
        <f>H29-F29</f>
        <v>#DIV/0!</v>
      </c>
      <c r="J29" s="101"/>
      <c r="K29" s="88"/>
      <c r="L29" s="88"/>
      <c r="M29" s="88"/>
      <c r="N29" s="88"/>
      <c r="O29" s="88"/>
      <c r="P29" s="88"/>
      <c r="Q29" s="337"/>
      <c r="R29" s="337"/>
      <c r="S29" s="337"/>
      <c r="T29" s="337"/>
      <c r="U29" s="337"/>
      <c r="V29" s="337"/>
      <c r="W29" s="337"/>
      <c r="X29" s="337"/>
      <c r="Y29" s="337"/>
      <c r="Z29" s="337"/>
      <c r="AA29" s="106"/>
      <c r="AB29" s="8"/>
    </row>
    <row r="30" spans="1:28" ht="12.75" customHeight="1" x14ac:dyDescent="0.25">
      <c r="A30" s="55"/>
      <c r="B30" s="101"/>
      <c r="C30" s="55"/>
      <c r="D30" s="55"/>
      <c r="E30" s="55"/>
      <c r="F30" s="786"/>
      <c r="G30" s="786"/>
      <c r="H30" s="384">
        <f>SUM(H25:H28)</f>
        <v>0</v>
      </c>
      <c r="I30" s="55"/>
      <c r="J30" s="55"/>
      <c r="K30" s="88"/>
      <c r="L30" s="88"/>
      <c r="M30" s="88"/>
      <c r="N30" s="88"/>
      <c r="O30" s="88"/>
      <c r="P30" s="88"/>
      <c r="Q30" s="337"/>
      <c r="R30" s="337"/>
      <c r="S30" s="337"/>
      <c r="T30" s="337"/>
      <c r="U30" s="337"/>
      <c r="V30" s="337"/>
      <c r="W30" s="337"/>
      <c r="X30" s="337"/>
      <c r="Y30" s="337"/>
      <c r="Z30" s="337"/>
      <c r="AA30" s="106"/>
      <c r="AB30" s="8"/>
    </row>
    <row r="31" spans="1:28" ht="12.75" hidden="1" customHeight="1" x14ac:dyDescent="0.2">
      <c r="A31" s="55"/>
      <c r="B31" s="55"/>
      <c r="C31" s="55"/>
      <c r="D31" s="55"/>
      <c r="E31" s="55"/>
      <c r="F31" s="55"/>
      <c r="G31" s="55"/>
      <c r="H31" s="55"/>
      <c r="I31" s="55"/>
      <c r="J31" s="55"/>
      <c r="K31" s="55"/>
      <c r="L31" s="55"/>
      <c r="M31" s="55"/>
      <c r="N31" s="55"/>
      <c r="O31" s="55"/>
      <c r="P31" s="55"/>
      <c r="Q31" s="8"/>
      <c r="R31" s="8"/>
      <c r="S31" s="8"/>
      <c r="T31" s="8"/>
      <c r="U31" s="106"/>
      <c r="V31" s="106"/>
      <c r="W31" s="106"/>
      <c r="X31" s="106"/>
      <c r="Y31" s="106"/>
      <c r="Z31" s="106"/>
      <c r="AA31" s="106"/>
      <c r="AB31" s="8"/>
    </row>
    <row r="32" spans="1:28" ht="12.75" hidden="1" customHeight="1" x14ac:dyDescent="0.2">
      <c r="A32" s="55"/>
      <c r="B32" s="55"/>
      <c r="C32" s="55"/>
      <c r="D32" s="55"/>
      <c r="E32" s="55"/>
      <c r="F32" s="55"/>
      <c r="G32" s="55"/>
      <c r="H32" s="55"/>
      <c r="I32" s="55"/>
      <c r="J32" s="55"/>
      <c r="K32" s="55"/>
      <c r="L32" s="55"/>
      <c r="M32" s="55"/>
      <c r="N32" s="55"/>
      <c r="O32" s="55"/>
      <c r="P32" s="55"/>
      <c r="Q32" s="8"/>
      <c r="R32" s="8"/>
      <c r="S32" s="8"/>
      <c r="T32" s="8"/>
      <c r="U32" s="106"/>
      <c r="V32" s="106"/>
      <c r="W32" s="106"/>
      <c r="X32" s="106"/>
      <c r="Y32" s="106"/>
      <c r="Z32" s="106"/>
      <c r="AA32" s="106"/>
      <c r="AB32" s="8"/>
    </row>
    <row r="33" spans="1:28" ht="12.75" hidden="1" customHeight="1" x14ac:dyDescent="0.2">
      <c r="A33" s="55"/>
      <c r="B33" s="59"/>
      <c r="C33" s="59"/>
      <c r="D33" s="59"/>
      <c r="E33" s="59"/>
      <c r="F33" s="59"/>
      <c r="G33" s="59"/>
      <c r="H33" s="59"/>
      <c r="I33" s="59"/>
      <c r="J33" s="55"/>
      <c r="K33" s="55"/>
      <c r="L33" s="55"/>
      <c r="M33" s="55"/>
      <c r="N33" s="55"/>
      <c r="O33" s="55"/>
      <c r="P33" s="55"/>
      <c r="Q33" s="8"/>
      <c r="R33" s="8"/>
      <c r="S33" s="8"/>
      <c r="T33" s="8"/>
      <c r="U33" s="106"/>
      <c r="V33" s="106"/>
      <c r="W33" s="106"/>
      <c r="X33" s="106"/>
      <c r="Y33" s="106"/>
      <c r="Z33" s="106"/>
      <c r="AA33" s="106"/>
      <c r="AB33" s="8"/>
    </row>
    <row r="34" spans="1:28" ht="12.75" hidden="1" customHeight="1" x14ac:dyDescent="0.2">
      <c r="A34" s="55"/>
      <c r="B34" s="72"/>
      <c r="C34" s="72"/>
      <c r="D34" s="72"/>
      <c r="E34" s="59"/>
      <c r="F34" s="59"/>
      <c r="G34" s="59"/>
      <c r="H34" s="59"/>
      <c r="I34" s="59"/>
      <c r="J34" s="55"/>
      <c r="K34" s="55"/>
      <c r="L34" s="55"/>
      <c r="M34" s="55"/>
      <c r="N34" s="8"/>
      <c r="O34" s="8"/>
      <c r="P34" s="8"/>
      <c r="Q34" s="8"/>
      <c r="R34" s="8"/>
      <c r="S34" s="8"/>
      <c r="T34" s="8"/>
      <c r="U34" s="106"/>
      <c r="V34" s="106"/>
      <c r="W34" s="106"/>
      <c r="X34" s="106"/>
      <c r="Y34" s="106"/>
      <c r="Z34" s="106"/>
      <c r="AA34" s="106"/>
      <c r="AB34" s="8"/>
    </row>
    <row r="35" spans="1:28" ht="12.75" hidden="1" customHeight="1" x14ac:dyDescent="0.2">
      <c r="A35" s="55"/>
      <c r="B35" s="72"/>
      <c r="C35" s="72"/>
      <c r="D35" s="72"/>
      <c r="E35" s="59"/>
      <c r="F35" s="59"/>
      <c r="G35" s="59"/>
      <c r="H35" s="59"/>
      <c r="I35" s="59"/>
      <c r="J35" s="55"/>
      <c r="K35" s="55"/>
      <c r="L35" s="55"/>
      <c r="M35" s="55"/>
      <c r="N35" s="8"/>
      <c r="O35" s="8"/>
      <c r="P35" s="8"/>
      <c r="Q35" s="8"/>
      <c r="R35" s="8"/>
      <c r="S35" s="8"/>
      <c r="T35" s="8"/>
      <c r="U35" s="106"/>
      <c r="V35" s="106"/>
      <c r="W35" s="106"/>
      <c r="X35" s="106"/>
      <c r="Y35" s="106"/>
      <c r="Z35" s="106"/>
      <c r="AA35" s="106"/>
      <c r="AB35" s="8"/>
    </row>
    <row r="36" spans="1:28" ht="12.75" hidden="1" customHeight="1" x14ac:dyDescent="0.2">
      <c r="A36" s="55"/>
      <c r="B36" s="72"/>
      <c r="C36" s="72"/>
      <c r="D36" s="72"/>
      <c r="E36" s="59"/>
      <c r="F36" s="59"/>
      <c r="G36" s="59"/>
      <c r="H36" s="59"/>
      <c r="I36" s="59"/>
      <c r="J36" s="55"/>
      <c r="K36" s="55"/>
      <c r="L36" s="55"/>
      <c r="M36" s="55"/>
      <c r="N36" s="8"/>
      <c r="O36" s="8"/>
      <c r="P36" s="8"/>
      <c r="Q36" s="8"/>
      <c r="R36" s="8"/>
      <c r="S36" s="8"/>
      <c r="T36" s="8"/>
      <c r="U36" s="106"/>
      <c r="V36" s="106"/>
      <c r="W36" s="106"/>
      <c r="X36" s="106"/>
      <c r="Y36" s="106"/>
      <c r="Z36" s="106"/>
      <c r="AA36" s="106"/>
      <c r="AB36" s="8"/>
    </row>
    <row r="37" spans="1:28" ht="15" hidden="1" customHeight="1" x14ac:dyDescent="0.25">
      <c r="A37" s="55"/>
      <c r="B37" s="72"/>
      <c r="C37" s="785" t="s">
        <v>114</v>
      </c>
      <c r="D37" s="785"/>
      <c r="E37" s="59"/>
      <c r="F37" s="61"/>
      <c r="G37" s="61"/>
      <c r="H37" s="59"/>
      <c r="I37" s="59"/>
      <c r="J37" s="55"/>
      <c r="K37" s="55"/>
      <c r="L37" s="55"/>
      <c r="M37" s="55"/>
      <c r="N37" s="8"/>
      <c r="O37" s="8"/>
      <c r="P37" s="8"/>
      <c r="Q37" s="8"/>
      <c r="R37" s="8"/>
      <c r="S37" s="8"/>
      <c r="T37" s="8"/>
      <c r="U37" s="106"/>
      <c r="V37" s="106"/>
      <c r="W37" s="106"/>
      <c r="X37" s="106"/>
      <c r="Y37" s="106"/>
      <c r="Z37" s="106"/>
      <c r="AA37" s="106"/>
      <c r="AB37" s="8"/>
    </row>
    <row r="38" spans="1:28" ht="12.75" hidden="1" customHeight="1" x14ac:dyDescent="0.2">
      <c r="A38" s="55"/>
      <c r="B38" s="72"/>
      <c r="C38" s="776">
        <f>'Wetlands Parts I-III'!U19</f>
        <v>0.2</v>
      </c>
      <c r="D38" s="776"/>
      <c r="E38" s="59"/>
      <c r="F38" s="61"/>
      <c r="G38" s="61"/>
      <c r="H38" s="59"/>
      <c r="I38" s="59"/>
      <c r="J38" s="55"/>
      <c r="K38" s="55"/>
      <c r="L38" s="55"/>
      <c r="M38" s="55"/>
      <c r="N38" s="55"/>
      <c r="O38" s="8"/>
      <c r="P38" s="8"/>
      <c r="Q38" s="8"/>
      <c r="R38" s="8"/>
      <c r="S38" s="8"/>
      <c r="T38" s="8"/>
      <c r="U38" s="106"/>
      <c r="V38" s="106"/>
      <c r="W38" s="106"/>
      <c r="X38" s="106"/>
      <c r="Y38" s="106"/>
      <c r="Z38" s="106"/>
      <c r="AA38" s="106"/>
      <c r="AB38" s="8"/>
    </row>
    <row r="39" spans="1:28" ht="12.75" hidden="1" customHeight="1" x14ac:dyDescent="0.2">
      <c r="A39" s="55"/>
      <c r="B39" s="72"/>
      <c r="C39" s="776">
        <f>'Wetlands Parts I-III'!V19</f>
        <v>0</v>
      </c>
      <c r="D39" s="776"/>
      <c r="E39" s="59"/>
      <c r="F39" s="61"/>
      <c r="G39" s="61"/>
      <c r="H39" s="59"/>
      <c r="I39" s="59"/>
      <c r="J39" s="55"/>
      <c r="K39" s="55"/>
      <c r="L39" s="55"/>
      <c r="M39" s="55"/>
      <c r="N39" s="55"/>
      <c r="O39" s="8"/>
      <c r="P39" s="8"/>
      <c r="Q39" s="8"/>
      <c r="R39" s="8"/>
      <c r="S39" s="8"/>
      <c r="T39" s="8"/>
      <c r="U39" s="8"/>
      <c r="V39" s="8"/>
      <c r="W39" s="8"/>
      <c r="X39" s="8"/>
      <c r="Y39" s="8"/>
      <c r="Z39" s="8"/>
      <c r="AA39" s="8"/>
      <c r="AB39" s="8"/>
    </row>
    <row r="40" spans="1:28" ht="12.75" hidden="1" customHeight="1" x14ac:dyDescent="0.2">
      <c r="A40" s="55"/>
      <c r="B40" s="72"/>
      <c r="C40" s="776">
        <f>'Wetlands Parts I-III'!W19</f>
        <v>0.5</v>
      </c>
      <c r="D40" s="776"/>
      <c r="E40" s="59"/>
      <c r="F40" s="61"/>
      <c r="G40" s="61"/>
      <c r="H40" s="59"/>
      <c r="I40" s="59"/>
      <c r="J40" s="55"/>
      <c r="K40" s="55"/>
      <c r="L40" s="55"/>
      <c r="M40" s="55"/>
      <c r="N40" s="55"/>
      <c r="O40" s="8"/>
      <c r="P40" s="8"/>
      <c r="Q40" s="8"/>
      <c r="R40" s="8"/>
      <c r="S40" s="8"/>
      <c r="T40" s="8"/>
      <c r="U40" s="8"/>
      <c r="V40" s="8"/>
      <c r="W40" s="8"/>
      <c r="X40" s="8"/>
      <c r="Y40" s="8"/>
      <c r="Z40" s="8"/>
      <c r="AA40" s="8"/>
      <c r="AB40" s="8"/>
    </row>
    <row r="41" spans="1:28" hidden="1" x14ac:dyDescent="0.2">
      <c r="A41" s="55"/>
      <c r="B41" s="72"/>
      <c r="C41" s="776">
        <f>'Wetlands Parts I-III'!X19</f>
        <v>0</v>
      </c>
      <c r="D41" s="776"/>
      <c r="E41" s="59"/>
      <c r="F41" s="61"/>
      <c r="G41" s="61"/>
      <c r="H41" s="59"/>
      <c r="I41" s="59"/>
      <c r="J41" s="55"/>
      <c r="K41" s="55"/>
      <c r="L41" s="55"/>
      <c r="M41" s="55"/>
      <c r="N41" s="55"/>
      <c r="O41" s="8"/>
      <c r="P41" s="8"/>
      <c r="Q41" s="8"/>
      <c r="R41" s="8"/>
      <c r="S41" s="8"/>
      <c r="T41" s="8"/>
      <c r="U41" s="8"/>
      <c r="V41" s="8"/>
      <c r="W41" s="8"/>
      <c r="X41" s="8"/>
      <c r="Y41" s="8"/>
      <c r="Z41" s="8"/>
      <c r="AA41" s="8"/>
      <c r="AB41" s="8"/>
    </row>
    <row r="42" spans="1:28" hidden="1" x14ac:dyDescent="0.2">
      <c r="A42" s="55"/>
      <c r="B42" s="72"/>
      <c r="C42" s="776">
        <f>SUM(C38:D41)</f>
        <v>0.7</v>
      </c>
      <c r="D42" s="776"/>
      <c r="E42" s="59"/>
      <c r="F42" s="61"/>
      <c r="G42" s="61"/>
      <c r="H42" s="59"/>
      <c r="I42" s="59"/>
      <c r="J42" s="55"/>
      <c r="K42" s="55"/>
      <c r="L42" s="55"/>
      <c r="M42" s="55"/>
      <c r="N42" s="55"/>
      <c r="O42" s="8"/>
      <c r="P42" s="8"/>
      <c r="Q42" s="8"/>
      <c r="R42" s="8"/>
      <c r="S42" s="8"/>
      <c r="T42" s="8"/>
      <c r="U42" s="8"/>
      <c r="V42" s="8"/>
      <c r="W42" s="8"/>
      <c r="X42" s="8"/>
      <c r="Y42" s="8"/>
      <c r="Z42" s="8"/>
      <c r="AA42" s="8"/>
      <c r="AB42" s="8"/>
    </row>
    <row r="43" spans="1:28" hidden="1" x14ac:dyDescent="0.2">
      <c r="A43" s="55"/>
      <c r="B43" s="72"/>
      <c r="C43" s="72"/>
      <c r="D43" s="72"/>
      <c r="E43" s="59"/>
      <c r="F43" s="59"/>
      <c r="G43" s="59"/>
      <c r="H43" s="59"/>
      <c r="I43" s="59"/>
      <c r="J43" s="55"/>
      <c r="K43" s="55"/>
      <c r="L43" s="55"/>
      <c r="M43" s="55"/>
      <c r="N43" s="55"/>
      <c r="O43" s="8"/>
      <c r="P43" s="8"/>
      <c r="Q43" s="8"/>
      <c r="R43" s="8"/>
      <c r="S43" s="8"/>
      <c r="T43" s="8"/>
      <c r="U43" s="8"/>
      <c r="V43" s="8"/>
      <c r="W43" s="8"/>
      <c r="X43" s="8"/>
      <c r="Y43" s="8"/>
      <c r="Z43" s="8"/>
      <c r="AA43" s="8"/>
      <c r="AB43" s="8"/>
    </row>
    <row r="44" spans="1:28" hidden="1" x14ac:dyDescent="0.2">
      <c r="A44" s="55"/>
      <c r="B44" s="72"/>
      <c r="C44" s="72"/>
      <c r="D44" s="72"/>
      <c r="E44" s="59"/>
      <c r="F44" s="59"/>
      <c r="G44" s="59"/>
      <c r="H44" s="59"/>
      <c r="I44" s="59"/>
      <c r="J44" s="55"/>
      <c r="K44" s="55"/>
      <c r="L44" s="55"/>
      <c r="M44" s="55"/>
      <c r="N44" s="55"/>
      <c r="O44" s="8"/>
      <c r="P44" s="8"/>
      <c r="Q44" s="8"/>
      <c r="R44" s="8"/>
      <c r="S44" s="8"/>
      <c r="T44" s="8"/>
      <c r="U44" s="8"/>
      <c r="V44" s="8"/>
      <c r="W44" s="8"/>
      <c r="X44" s="8"/>
      <c r="Y44" s="8"/>
      <c r="Z44" s="8"/>
      <c r="AA44" s="8"/>
      <c r="AB44" s="8"/>
    </row>
    <row r="45" spans="1:28" hidden="1" x14ac:dyDescent="0.2">
      <c r="A45" s="55"/>
      <c r="B45" s="72"/>
      <c r="C45" s="72"/>
      <c r="D45" s="72"/>
      <c r="E45" s="59"/>
      <c r="F45" s="59"/>
      <c r="G45" s="59"/>
      <c r="H45" s="59"/>
      <c r="I45" s="59"/>
      <c r="J45" s="55"/>
      <c r="K45" s="55"/>
      <c r="L45" s="55"/>
      <c r="M45" s="55"/>
      <c r="N45" s="55"/>
      <c r="O45" s="8"/>
      <c r="P45" s="8"/>
      <c r="Q45" s="8"/>
      <c r="R45" s="8"/>
      <c r="S45" s="8"/>
      <c r="T45" s="8"/>
      <c r="U45" s="8"/>
      <c r="V45" s="8"/>
      <c r="W45" s="8"/>
      <c r="X45" s="8"/>
      <c r="Y45" s="8"/>
      <c r="Z45" s="8"/>
      <c r="AA45" s="8"/>
      <c r="AB45" s="8"/>
    </row>
    <row r="46" spans="1:28" hidden="1" x14ac:dyDescent="0.2">
      <c r="A46" s="55"/>
      <c r="B46" s="59"/>
      <c r="C46" s="59"/>
      <c r="D46" s="59"/>
      <c r="E46" s="59"/>
      <c r="F46" s="59"/>
      <c r="G46" s="59"/>
      <c r="H46" s="59"/>
      <c r="I46" s="59"/>
      <c r="J46" s="55"/>
      <c r="K46" s="55"/>
      <c r="L46" s="55"/>
      <c r="M46" s="55"/>
      <c r="N46" s="55"/>
      <c r="O46" s="8"/>
      <c r="P46" s="8"/>
      <c r="Q46" s="8"/>
      <c r="R46" s="8"/>
      <c r="S46" s="8"/>
      <c r="T46" s="8"/>
      <c r="U46" s="8"/>
      <c r="V46" s="8"/>
      <c r="W46" s="8"/>
      <c r="X46" s="8"/>
      <c r="Y46" s="8"/>
      <c r="Z46" s="8"/>
      <c r="AA46" s="8"/>
      <c r="AB46" s="8"/>
    </row>
    <row r="47" spans="1:28" hidden="1" x14ac:dyDescent="0.2">
      <c r="A47" s="55"/>
      <c r="B47" s="55"/>
      <c r="C47" s="55"/>
      <c r="D47" s="55"/>
      <c r="E47" s="55"/>
      <c r="F47" s="55"/>
      <c r="G47" s="55"/>
      <c r="H47" s="55"/>
      <c r="I47" s="55"/>
      <c r="J47" s="55"/>
      <c r="K47" s="55"/>
      <c r="L47" s="55"/>
      <c r="M47" s="55"/>
      <c r="N47" s="55"/>
      <c r="O47" s="8"/>
      <c r="P47" s="8"/>
      <c r="Q47" s="8"/>
      <c r="R47" s="8"/>
      <c r="S47" s="8"/>
      <c r="T47" s="8"/>
      <c r="U47" s="8"/>
      <c r="V47" s="8"/>
      <c r="W47" s="8"/>
      <c r="X47" s="8"/>
      <c r="Y47" s="8"/>
      <c r="Z47" s="8"/>
      <c r="AA47" s="8"/>
      <c r="AB47" s="8"/>
    </row>
    <row r="48" spans="1:28" hidden="1" x14ac:dyDescent="0.2">
      <c r="A48" s="55"/>
      <c r="B48" s="55"/>
      <c r="C48" s="55"/>
      <c r="D48" s="55"/>
      <c r="E48" s="55"/>
      <c r="F48" s="55"/>
      <c r="G48" s="55"/>
      <c r="H48" s="55"/>
      <c r="I48" s="55"/>
      <c r="J48" s="55"/>
      <c r="K48" s="55"/>
      <c r="L48" s="55"/>
      <c r="M48" s="55"/>
      <c r="N48" s="55"/>
      <c r="O48" s="8"/>
      <c r="P48" s="8"/>
      <c r="Q48" s="8"/>
      <c r="R48" s="8"/>
      <c r="S48" s="8"/>
      <c r="T48" s="8"/>
      <c r="U48" s="8"/>
      <c r="V48" s="8"/>
      <c r="W48" s="8"/>
      <c r="X48" s="8"/>
      <c r="Y48" s="8"/>
      <c r="Z48" s="8"/>
      <c r="AA48" s="8"/>
      <c r="AB48" s="8"/>
    </row>
    <row r="49" spans="1:48" hidden="1" x14ac:dyDescent="0.2">
      <c r="A49" s="55"/>
      <c r="B49" s="55"/>
      <c r="C49" s="55"/>
      <c r="D49" s="55"/>
      <c r="E49" s="55"/>
      <c r="F49" s="55"/>
      <c r="G49" s="55"/>
      <c r="H49" s="55"/>
      <c r="I49" s="55"/>
      <c r="J49" s="55"/>
      <c r="K49" s="55"/>
      <c r="L49" s="55"/>
      <c r="M49" s="55"/>
      <c r="N49" s="55"/>
      <c r="O49" s="8"/>
      <c r="P49" s="8"/>
      <c r="Q49" s="8"/>
      <c r="R49" s="8"/>
      <c r="S49" s="8"/>
      <c r="T49" s="8"/>
      <c r="U49" s="8"/>
      <c r="V49" s="8"/>
      <c r="W49" s="8"/>
      <c r="X49" s="8"/>
      <c r="Y49" s="8"/>
      <c r="Z49" s="8"/>
      <c r="AA49" s="8"/>
      <c r="AB49" s="8"/>
    </row>
    <row r="50" spans="1:48" hidden="1" x14ac:dyDescent="0.2">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row>
    <row r="51" spans="1:48" hidden="1" x14ac:dyDescent="0.2">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row>
    <row r="52" spans="1:48" hidden="1" x14ac:dyDescent="0.2">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row>
    <row r="53" spans="1:48" hidden="1" x14ac:dyDescent="0.2">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row>
    <row r="54" spans="1:48" hidden="1" x14ac:dyDescent="0.2">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row>
    <row r="55" spans="1:48" hidden="1" x14ac:dyDescent="0.2">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row>
    <row r="56" spans="1:48" hidden="1" x14ac:dyDescent="0.2">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row>
    <row r="57" spans="1:48" hidden="1" x14ac:dyDescent="0.2">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row>
    <row r="58" spans="1:48" hidden="1" x14ac:dyDescent="0.2">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row>
    <row r="59" spans="1:48" hidden="1" x14ac:dyDescent="0.2">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row>
    <row r="60" spans="1:48" hidden="1" x14ac:dyDescent="0.2">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row>
    <row r="61" spans="1:48" hidden="1" x14ac:dyDescent="0.2">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row>
    <row r="62" spans="1:48" hidden="1" x14ac:dyDescent="0.2">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row>
    <row r="63" spans="1:48" hidden="1" x14ac:dyDescent="0.2">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row>
    <row r="64" spans="1:48" hidden="1" x14ac:dyDescent="0.2">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row>
    <row r="65" spans="1:48" hidden="1" x14ac:dyDescent="0.2">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row>
    <row r="66" spans="1:48" hidden="1" x14ac:dyDescent="0.2">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row>
    <row r="67" spans="1:48" hidden="1" x14ac:dyDescent="0.2">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row>
    <row r="68" spans="1:48" hidden="1" x14ac:dyDescent="0.2">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row>
    <row r="69" spans="1:48" hidden="1" x14ac:dyDescent="0.2">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row>
    <row r="70" spans="1:48" hidden="1" x14ac:dyDescent="0.2">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row>
    <row r="71" spans="1:48" hidden="1" x14ac:dyDescent="0.2">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row>
    <row r="72" spans="1:48" hidden="1" x14ac:dyDescent="0.2">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row>
    <row r="73" spans="1:48" hidden="1" x14ac:dyDescent="0.2">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row>
    <row r="74" spans="1:48" hidden="1" x14ac:dyDescent="0.2">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row>
    <row r="75" spans="1:48" hidden="1" x14ac:dyDescent="0.2">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row>
    <row r="76" spans="1:48" hidden="1" x14ac:dyDescent="0.2">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row>
    <row r="77" spans="1:48" hidden="1" x14ac:dyDescent="0.2">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row>
    <row r="78" spans="1:48" hidden="1" x14ac:dyDescent="0.2">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row>
    <row r="79" spans="1:48" hidden="1" x14ac:dyDescent="0.2">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row>
    <row r="80" spans="1:48" hidden="1" x14ac:dyDescent="0.2">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row>
    <row r="81" spans="1:48" hidden="1" x14ac:dyDescent="0.2">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row>
    <row r="82" spans="1:48" hidden="1" x14ac:dyDescent="0.2">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row>
    <row r="83" spans="1:48" hidden="1" x14ac:dyDescent="0.2">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row>
    <row r="84" spans="1:48" hidden="1" x14ac:dyDescent="0.2">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row>
    <row r="85" spans="1:48" hidden="1" x14ac:dyDescent="0.2">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row>
    <row r="86" spans="1:48" hidden="1" x14ac:dyDescent="0.2">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row>
    <row r="87" spans="1:48" hidden="1" x14ac:dyDescent="0.2">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row>
    <row r="88" spans="1:48" hidden="1" x14ac:dyDescent="0.2">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row>
    <row r="89" spans="1:48" hidden="1" x14ac:dyDescent="0.2">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row>
    <row r="90" spans="1:48" hidden="1" x14ac:dyDescent="0.2">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row>
    <row r="91" spans="1:48" hidden="1" x14ac:dyDescent="0.2">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row>
    <row r="92" spans="1:48" hidden="1" x14ac:dyDescent="0.2">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row>
    <row r="93" spans="1:48" hidden="1" x14ac:dyDescent="0.2">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row>
    <row r="94" spans="1:48" hidden="1" x14ac:dyDescent="0.2">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row>
    <row r="95" spans="1:48" hidden="1" x14ac:dyDescent="0.2">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row>
    <row r="96" spans="1:48" hidden="1" x14ac:dyDescent="0.2">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row>
    <row r="97" spans="1:48" hidden="1" x14ac:dyDescent="0.2">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row>
    <row r="98" spans="1:48" hidden="1" x14ac:dyDescent="0.2">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row>
    <row r="99" spans="1:48" hidden="1" x14ac:dyDescent="0.2">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row>
    <row r="100" spans="1:48" hidden="1" x14ac:dyDescent="0.2">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row>
    <row r="101" spans="1:48" hidden="1" x14ac:dyDescent="0.2">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row>
    <row r="102" spans="1:48" hidden="1" x14ac:dyDescent="0.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row>
    <row r="103" spans="1:48" hidden="1" x14ac:dyDescent="0.2">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row>
    <row r="104" spans="1:48" hidden="1" x14ac:dyDescent="0.2">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row>
    <row r="105" spans="1:48" hidden="1" x14ac:dyDescent="0.2">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row>
    <row r="106" spans="1:48" hidden="1" x14ac:dyDescent="0.2">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row>
    <row r="107" spans="1:48" hidden="1" x14ac:dyDescent="0.2">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row>
    <row r="108" spans="1:48" hidden="1" x14ac:dyDescent="0.2">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row>
    <row r="109" spans="1:48" hidden="1" x14ac:dyDescent="0.2">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row>
    <row r="110" spans="1:48" hidden="1" x14ac:dyDescent="0.2">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row>
    <row r="111" spans="1:48" hidden="1" x14ac:dyDescent="0.2">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row>
    <row r="112" spans="1:48" hidden="1" x14ac:dyDescent="0.2">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row>
    <row r="113" spans="1:48" hidden="1" x14ac:dyDescent="0.2">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row>
    <row r="114" spans="1:48" hidden="1" x14ac:dyDescent="0.2">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row>
    <row r="115" spans="1:48" hidden="1" x14ac:dyDescent="0.2">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row>
    <row r="116" spans="1:48" hidden="1" x14ac:dyDescent="0.2">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row>
    <row r="117" spans="1:48" hidden="1" x14ac:dyDescent="0.2">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row>
    <row r="118" spans="1:48" hidden="1" x14ac:dyDescent="0.2">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row>
    <row r="119" spans="1:48" hidden="1" x14ac:dyDescent="0.2">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row>
    <row r="120" spans="1:48" hidden="1" x14ac:dyDescent="0.2">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row>
    <row r="121" spans="1:48" hidden="1" x14ac:dyDescent="0.2">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row>
    <row r="122" spans="1:48" hidden="1" x14ac:dyDescent="0.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row>
    <row r="123" spans="1:48" hidden="1" x14ac:dyDescent="0.2">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row>
    <row r="124" spans="1:48" hidden="1" x14ac:dyDescent="0.2">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row>
    <row r="125" spans="1:48" hidden="1" x14ac:dyDescent="0.2">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row>
    <row r="126" spans="1:48" hidden="1" x14ac:dyDescent="0.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row>
    <row r="127" spans="1:48" hidden="1" x14ac:dyDescent="0.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row>
    <row r="128" spans="1:48" hidden="1" x14ac:dyDescent="0.2">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row>
    <row r="129" spans="1:48" hidden="1" x14ac:dyDescent="0.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row>
    <row r="130" spans="1:48" hidden="1" x14ac:dyDescent="0.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row>
    <row r="131" spans="1:48" hidden="1" x14ac:dyDescent="0.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row>
    <row r="132" spans="1:48" hidden="1" x14ac:dyDescent="0.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row>
    <row r="133" spans="1:48" hidden="1" x14ac:dyDescent="0.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row>
    <row r="134" spans="1:48" hidden="1" x14ac:dyDescent="0.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row>
    <row r="135" spans="1:48" hidden="1" x14ac:dyDescent="0.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row>
    <row r="136" spans="1:48" hidden="1" x14ac:dyDescent="0.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row>
    <row r="137" spans="1:48" hidden="1" x14ac:dyDescent="0.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row>
    <row r="138" spans="1:48" hidden="1" x14ac:dyDescent="0.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row>
    <row r="139" spans="1:48" hidden="1" x14ac:dyDescent="0.2">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row>
    <row r="140" spans="1:48" hidden="1" x14ac:dyDescent="0.2">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row>
    <row r="141" spans="1:48" hidden="1" x14ac:dyDescent="0.2">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row>
    <row r="142" spans="1:48" hidden="1" x14ac:dyDescent="0.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row>
    <row r="143" spans="1:48" hidden="1" x14ac:dyDescent="0.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row>
    <row r="144" spans="1:48" hidden="1" x14ac:dyDescent="0.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row>
    <row r="145" spans="1:48" hidden="1" x14ac:dyDescent="0.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row>
    <row r="146" spans="1:48" hidden="1" x14ac:dyDescent="0.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row>
    <row r="147" spans="1:48" hidden="1" x14ac:dyDescent="0.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row>
    <row r="148" spans="1:48" hidden="1" x14ac:dyDescent="0.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row>
    <row r="149" spans="1:48" hidden="1" x14ac:dyDescent="0.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row>
    <row r="150" spans="1:48" hidden="1" x14ac:dyDescent="0.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row>
    <row r="151" spans="1:48" hidden="1" x14ac:dyDescent="0.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row>
    <row r="152" spans="1:48" hidden="1" x14ac:dyDescent="0.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row>
    <row r="153" spans="1:48" hidden="1" x14ac:dyDescent="0.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row>
    <row r="154" spans="1:48" hidden="1" x14ac:dyDescent="0.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row>
    <row r="155" spans="1:48" hidden="1" x14ac:dyDescent="0.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row>
    <row r="156" spans="1:48" hidden="1" x14ac:dyDescent="0.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row>
    <row r="157" spans="1:48" hidden="1" x14ac:dyDescent="0.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row>
    <row r="158" spans="1:48" hidden="1" x14ac:dyDescent="0.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row>
    <row r="159" spans="1:48" hidden="1" x14ac:dyDescent="0.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row>
    <row r="160" spans="1:48" hidden="1" x14ac:dyDescent="0.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row>
    <row r="161" spans="1:48" hidden="1" x14ac:dyDescent="0.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row>
    <row r="162" spans="1:48" hidden="1" x14ac:dyDescent="0.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row>
    <row r="163" spans="1:48" hidden="1" x14ac:dyDescent="0.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row>
    <row r="164" spans="1:48" hidden="1" x14ac:dyDescent="0.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row>
    <row r="165" spans="1:48" hidden="1" x14ac:dyDescent="0.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row>
    <row r="166" spans="1:48" hidden="1" x14ac:dyDescent="0.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row>
    <row r="167" spans="1:48" hidden="1" x14ac:dyDescent="0.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row>
    <row r="168" spans="1:48" hidden="1" x14ac:dyDescent="0.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row>
    <row r="169" spans="1:48" hidden="1" x14ac:dyDescent="0.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row>
    <row r="170" spans="1:48" hidden="1" x14ac:dyDescent="0.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row>
    <row r="171" spans="1:48" hidden="1" x14ac:dyDescent="0.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row>
    <row r="172" spans="1:48" hidden="1" x14ac:dyDescent="0.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row>
    <row r="173" spans="1:48" hidden="1" x14ac:dyDescent="0.2">
      <c r="U173" s="8"/>
      <c r="V173" s="8"/>
      <c r="W173" s="8"/>
      <c r="X173" s="8"/>
      <c r="Y173" s="8"/>
      <c r="Z173" s="8"/>
      <c r="AA173" s="8"/>
      <c r="AB173" s="8"/>
    </row>
    <row r="174" spans="1:48" hidden="1" x14ac:dyDescent="0.2">
      <c r="U174" s="8"/>
      <c r="V174" s="8"/>
      <c r="W174" s="8"/>
      <c r="X174" s="8"/>
      <c r="Y174" s="8"/>
      <c r="Z174" s="8"/>
      <c r="AA174" s="8"/>
      <c r="AB174" s="8"/>
    </row>
    <row r="175" spans="1:48" hidden="1" x14ac:dyDescent="0.2">
      <c r="U175" s="8"/>
      <c r="V175" s="8"/>
      <c r="W175" s="8"/>
      <c r="X175" s="8"/>
      <c r="Y175" s="8"/>
      <c r="Z175" s="8"/>
      <c r="AA175" s="8"/>
      <c r="AB175" s="8"/>
    </row>
    <row r="176" spans="1:48" hidden="1" x14ac:dyDescent="0.2">
      <c r="U176" s="8"/>
      <c r="V176" s="8"/>
      <c r="W176" s="8"/>
      <c r="X176" s="8"/>
      <c r="Y176" s="8"/>
      <c r="Z176" s="8"/>
      <c r="AA176" s="8"/>
      <c r="AB176" s="8"/>
    </row>
    <row r="177" spans="21:28" hidden="1" x14ac:dyDescent="0.2">
      <c r="U177" s="8"/>
      <c r="V177" s="8"/>
      <c r="W177" s="8"/>
      <c r="X177" s="8"/>
      <c r="Y177" s="8"/>
      <c r="Z177" s="8"/>
      <c r="AA177" s="8"/>
      <c r="AB177" s="8"/>
    </row>
    <row r="178" spans="21:28" hidden="1" x14ac:dyDescent="0.2">
      <c r="U178" s="8"/>
      <c r="V178" s="8"/>
      <c r="W178" s="8"/>
      <c r="X178" s="8"/>
      <c r="Y178" s="8"/>
      <c r="Z178" s="8"/>
      <c r="AA178" s="8"/>
      <c r="AB178" s="8"/>
    </row>
    <row r="179" spans="21:28" hidden="1" x14ac:dyDescent="0.2">
      <c r="U179" s="8"/>
      <c r="V179" s="8"/>
      <c r="W179" s="8"/>
      <c r="X179" s="8"/>
      <c r="Y179" s="8"/>
      <c r="Z179" s="8"/>
      <c r="AA179" s="8"/>
      <c r="AB179" s="8"/>
    </row>
    <row r="180" spans="21:28" hidden="1" x14ac:dyDescent="0.2">
      <c r="U180" s="8"/>
      <c r="V180" s="8"/>
      <c r="W180" s="8"/>
      <c r="X180" s="8"/>
      <c r="Y180" s="8"/>
      <c r="Z180" s="8"/>
      <c r="AA180" s="8"/>
      <c r="AB180" s="8"/>
    </row>
    <row r="181" spans="21:28" hidden="1" x14ac:dyDescent="0.2">
      <c r="U181" s="8"/>
      <c r="V181" s="8"/>
      <c r="W181" s="8"/>
      <c r="X181" s="8"/>
      <c r="Y181" s="8"/>
      <c r="Z181" s="8"/>
      <c r="AA181" s="8"/>
      <c r="AB181" s="8"/>
    </row>
    <row r="182" spans="21:28" hidden="1" x14ac:dyDescent="0.2">
      <c r="U182" s="8"/>
      <c r="V182" s="8"/>
      <c r="W182" s="8"/>
      <c r="X182" s="8"/>
      <c r="Y182" s="8"/>
      <c r="Z182" s="8"/>
      <c r="AA182" s="8"/>
      <c r="AB182" s="8"/>
    </row>
    <row r="183" spans="21:28" hidden="1" x14ac:dyDescent="0.2">
      <c r="U183" s="8"/>
      <c r="V183" s="8"/>
      <c r="W183" s="8"/>
      <c r="X183" s="8"/>
      <c r="Y183" s="8"/>
      <c r="Z183" s="8"/>
      <c r="AA183" s="8"/>
      <c r="AB183" s="8"/>
    </row>
    <row r="184" spans="21:28" hidden="1" x14ac:dyDescent="0.2">
      <c r="U184" s="8"/>
      <c r="V184" s="8"/>
      <c r="W184" s="8"/>
      <c r="X184" s="8"/>
      <c r="Y184" s="8"/>
      <c r="Z184" s="8"/>
      <c r="AA184" s="8"/>
      <c r="AB184" s="8"/>
    </row>
    <row r="185" spans="21:28" hidden="1" x14ac:dyDescent="0.2">
      <c r="U185" s="8"/>
      <c r="V185" s="8"/>
      <c r="W185" s="8"/>
      <c r="X185" s="8"/>
      <c r="Y185" s="8"/>
      <c r="Z185" s="8"/>
      <c r="AA185" s="8"/>
      <c r="AB185" s="8"/>
    </row>
    <row r="186" spans="21:28" hidden="1" x14ac:dyDescent="0.2">
      <c r="U186" s="8"/>
      <c r="V186" s="8"/>
      <c r="W186" s="8"/>
      <c r="X186" s="8"/>
      <c r="Y186" s="8"/>
      <c r="Z186" s="8"/>
      <c r="AA186" s="8"/>
      <c r="AB186" s="8"/>
    </row>
    <row r="187" spans="21:28" hidden="1" x14ac:dyDescent="0.2">
      <c r="U187" s="8"/>
      <c r="V187" s="8"/>
      <c r="W187" s="8"/>
      <c r="X187" s="8"/>
      <c r="Y187" s="8"/>
      <c r="Z187" s="8"/>
      <c r="AA187" s="8"/>
      <c r="AB187" s="8"/>
    </row>
    <row r="188" spans="21:28" hidden="1" x14ac:dyDescent="0.2">
      <c r="U188" s="8"/>
      <c r="V188" s="8"/>
      <c r="W188" s="8"/>
      <c r="X188" s="8"/>
      <c r="Y188" s="8"/>
      <c r="Z188" s="8"/>
      <c r="AA188" s="8"/>
      <c r="AB188" s="8"/>
    </row>
    <row r="189" spans="21:28" hidden="1" x14ac:dyDescent="0.2">
      <c r="U189" s="8"/>
      <c r="V189" s="8"/>
      <c r="W189" s="8"/>
      <c r="X189" s="8"/>
      <c r="Y189" s="8"/>
      <c r="Z189" s="8"/>
      <c r="AA189" s="8"/>
      <c r="AB189" s="8"/>
    </row>
    <row r="190" spans="21:28" hidden="1" x14ac:dyDescent="0.2">
      <c r="U190" s="8"/>
      <c r="V190" s="8"/>
      <c r="W190" s="8"/>
      <c r="X190" s="8"/>
      <c r="Y190" s="8"/>
      <c r="Z190" s="8"/>
      <c r="AA190" s="8"/>
      <c r="AB190" s="8"/>
    </row>
    <row r="191" spans="21:28" hidden="1" x14ac:dyDescent="0.2">
      <c r="U191" s="8"/>
      <c r="V191" s="8"/>
      <c r="W191" s="8"/>
      <c r="X191" s="8"/>
      <c r="Y191" s="8"/>
      <c r="Z191" s="8"/>
      <c r="AA191" s="8"/>
      <c r="AB191" s="8"/>
    </row>
    <row r="192" spans="21:28" hidden="1" x14ac:dyDescent="0.2">
      <c r="U192" s="8"/>
      <c r="V192" s="8"/>
      <c r="W192" s="8"/>
      <c r="X192" s="8"/>
      <c r="Y192" s="8"/>
      <c r="Z192" s="8"/>
      <c r="AA192" s="8"/>
      <c r="AB192" s="8"/>
    </row>
    <row r="193" spans="21:28" hidden="1" x14ac:dyDescent="0.2">
      <c r="U193" s="8"/>
      <c r="V193" s="8"/>
      <c r="W193" s="8"/>
      <c r="X193" s="8"/>
      <c r="Y193" s="8"/>
      <c r="Z193" s="8"/>
      <c r="AA193" s="8"/>
      <c r="AB193" s="8"/>
    </row>
    <row r="194" spans="21:28" hidden="1" x14ac:dyDescent="0.2">
      <c r="U194" s="8"/>
      <c r="V194" s="8"/>
      <c r="W194" s="8"/>
      <c r="X194" s="8"/>
      <c r="Y194" s="8"/>
      <c r="Z194" s="8"/>
      <c r="AA194" s="8"/>
      <c r="AB194" s="8"/>
    </row>
    <row r="195" spans="21:28" hidden="1" x14ac:dyDescent="0.2">
      <c r="U195" s="8"/>
      <c r="V195" s="8"/>
      <c r="W195" s="8"/>
      <c r="X195" s="8"/>
      <c r="Y195" s="8"/>
      <c r="Z195" s="8"/>
      <c r="AA195" s="8"/>
      <c r="AB195" s="8"/>
    </row>
    <row r="196" spans="21:28" hidden="1" x14ac:dyDescent="0.2">
      <c r="U196" s="8"/>
      <c r="V196" s="8"/>
      <c r="W196" s="8"/>
      <c r="X196" s="8"/>
      <c r="Y196" s="8"/>
      <c r="Z196" s="8"/>
      <c r="AA196" s="8"/>
      <c r="AB196" s="8"/>
    </row>
    <row r="197" spans="21:28" hidden="1" x14ac:dyDescent="0.2">
      <c r="U197" s="8"/>
      <c r="V197" s="8"/>
      <c r="W197" s="8"/>
      <c r="X197" s="8"/>
      <c r="Y197" s="8"/>
      <c r="Z197" s="8"/>
      <c r="AA197" s="8"/>
      <c r="AB197" s="8"/>
    </row>
    <row r="198" spans="21:28" hidden="1" x14ac:dyDescent="0.2">
      <c r="U198" s="8"/>
      <c r="V198" s="8"/>
      <c r="W198" s="8"/>
      <c r="X198" s="8"/>
      <c r="Y198" s="8"/>
      <c r="Z198" s="8"/>
      <c r="AA198" s="8"/>
      <c r="AB198" s="8"/>
    </row>
    <row r="199" spans="21:28" hidden="1" x14ac:dyDescent="0.2">
      <c r="U199" s="8"/>
      <c r="V199" s="8"/>
      <c r="W199" s="8"/>
      <c r="X199" s="8"/>
      <c r="Y199" s="8"/>
      <c r="Z199" s="8"/>
      <c r="AA199" s="8"/>
      <c r="AB199" s="8"/>
    </row>
    <row r="200" spans="21:28" hidden="1" x14ac:dyDescent="0.2">
      <c r="U200" s="8"/>
      <c r="V200" s="8"/>
      <c r="W200" s="8"/>
      <c r="X200" s="8"/>
      <c r="Y200" s="8"/>
      <c r="Z200" s="8"/>
      <c r="AA200" s="8"/>
      <c r="AB200" s="8"/>
    </row>
    <row r="201" spans="21:28" hidden="1" x14ac:dyDescent="0.2">
      <c r="U201" s="8"/>
      <c r="V201" s="8"/>
      <c r="W201" s="8"/>
      <c r="X201" s="8"/>
      <c r="Y201" s="8"/>
      <c r="Z201" s="8"/>
      <c r="AA201" s="8"/>
      <c r="AB201" s="8"/>
    </row>
    <row r="202" spans="21:28" hidden="1" x14ac:dyDescent="0.2">
      <c r="U202" s="8"/>
      <c r="V202" s="8"/>
      <c r="W202" s="8"/>
      <c r="X202" s="8"/>
      <c r="Y202" s="8"/>
      <c r="Z202" s="8"/>
      <c r="AA202" s="8"/>
      <c r="AB202" s="8"/>
    </row>
    <row r="203" spans="21:28" hidden="1" x14ac:dyDescent="0.2">
      <c r="U203" s="8"/>
      <c r="V203" s="8"/>
      <c r="W203" s="8"/>
      <c r="X203" s="8"/>
      <c r="Y203" s="8"/>
      <c r="Z203" s="8"/>
      <c r="AA203" s="8"/>
      <c r="AB203" s="8"/>
    </row>
    <row r="204" spans="21:28" hidden="1" x14ac:dyDescent="0.2">
      <c r="U204" s="8"/>
      <c r="V204" s="8"/>
      <c r="W204" s="8"/>
      <c r="X204" s="8"/>
      <c r="Y204" s="8"/>
      <c r="Z204" s="8"/>
      <c r="AA204" s="8"/>
      <c r="AB204" s="8"/>
    </row>
    <row r="205" spans="21:28" hidden="1" x14ac:dyDescent="0.2">
      <c r="U205" s="8"/>
      <c r="V205" s="8"/>
      <c r="W205" s="8"/>
      <c r="X205" s="8"/>
      <c r="Y205" s="8"/>
      <c r="Z205" s="8"/>
      <c r="AA205" s="8"/>
      <c r="AB205" s="8"/>
    </row>
    <row r="206" spans="21:28" hidden="1" x14ac:dyDescent="0.2">
      <c r="U206" s="8"/>
      <c r="V206" s="8"/>
      <c r="W206" s="8"/>
      <c r="X206" s="8"/>
      <c r="Y206" s="8"/>
      <c r="Z206" s="8"/>
      <c r="AA206" s="8"/>
      <c r="AB206" s="8"/>
    </row>
    <row r="207" spans="21:28" hidden="1" x14ac:dyDescent="0.2">
      <c r="U207" s="8"/>
      <c r="V207" s="8"/>
      <c r="W207" s="8"/>
      <c r="X207" s="8"/>
      <c r="Y207" s="8"/>
      <c r="Z207" s="8"/>
      <c r="AA207" s="8"/>
      <c r="AB207" s="8"/>
    </row>
    <row r="208" spans="21:28" hidden="1" x14ac:dyDescent="0.2">
      <c r="U208" s="8"/>
      <c r="V208" s="8"/>
      <c r="W208" s="8"/>
      <c r="X208" s="8"/>
      <c r="Y208" s="8"/>
      <c r="Z208" s="8"/>
      <c r="AA208" s="8"/>
      <c r="AB208" s="8"/>
    </row>
    <row r="209" spans="21:28" hidden="1" x14ac:dyDescent="0.2">
      <c r="U209" s="8"/>
      <c r="V209" s="8"/>
      <c r="W209" s="8"/>
      <c r="X209" s="8"/>
      <c r="Y209" s="8"/>
      <c r="Z209" s="8"/>
      <c r="AA209" s="8"/>
      <c r="AB209" s="8"/>
    </row>
    <row r="210" spans="21:28" hidden="1" x14ac:dyDescent="0.2">
      <c r="U210" s="8"/>
      <c r="V210" s="8"/>
      <c r="W210" s="8"/>
      <c r="X210" s="8"/>
      <c r="Y210" s="8"/>
      <c r="Z210" s="8"/>
      <c r="AA210" s="8"/>
      <c r="AB210" s="8"/>
    </row>
    <row r="211" spans="21:28" hidden="1" x14ac:dyDescent="0.2">
      <c r="U211" s="8"/>
      <c r="V211" s="8"/>
      <c r="W211" s="8"/>
      <c r="X211" s="8"/>
      <c r="Y211" s="8"/>
      <c r="Z211" s="8"/>
      <c r="AA211" s="8"/>
      <c r="AB211" s="8"/>
    </row>
    <row r="212" spans="21:28" hidden="1" x14ac:dyDescent="0.2">
      <c r="U212" s="8"/>
      <c r="V212" s="8"/>
      <c r="W212" s="8"/>
      <c r="X212" s="8"/>
      <c r="Y212" s="8"/>
      <c r="Z212" s="8"/>
      <c r="AA212" s="8"/>
      <c r="AB212" s="8"/>
    </row>
    <row r="213" spans="21:28" hidden="1" x14ac:dyDescent="0.2">
      <c r="U213" s="8"/>
      <c r="V213" s="8"/>
      <c r="W213" s="8"/>
      <c r="X213" s="8"/>
      <c r="Y213" s="8"/>
      <c r="Z213" s="8"/>
      <c r="AA213" s="8"/>
      <c r="AB213" s="8"/>
    </row>
    <row r="214" spans="21:28" hidden="1" x14ac:dyDescent="0.2">
      <c r="U214" s="8"/>
      <c r="V214" s="8"/>
      <c r="W214" s="8"/>
      <c r="X214" s="8"/>
      <c r="Y214" s="8"/>
      <c r="Z214" s="8"/>
      <c r="AA214" s="8"/>
      <c r="AB214" s="8"/>
    </row>
    <row r="215" spans="21:28" hidden="1" x14ac:dyDescent="0.2">
      <c r="U215" s="8"/>
      <c r="V215" s="8"/>
      <c r="W215" s="8"/>
      <c r="X215" s="8"/>
      <c r="Y215" s="8"/>
      <c r="Z215" s="8"/>
      <c r="AA215" s="8"/>
      <c r="AB215" s="8"/>
    </row>
    <row r="216" spans="21:28" hidden="1" x14ac:dyDescent="0.2">
      <c r="U216" s="8"/>
      <c r="V216" s="8"/>
      <c r="W216" s="8"/>
      <c r="X216" s="8"/>
      <c r="Y216" s="8"/>
      <c r="Z216" s="8"/>
      <c r="AA216" s="8"/>
      <c r="AB216" s="8"/>
    </row>
    <row r="217" spans="21:28" hidden="1" x14ac:dyDescent="0.2">
      <c r="U217" s="8"/>
      <c r="V217" s="8"/>
      <c r="W217" s="8"/>
      <c r="X217" s="8"/>
      <c r="Y217" s="8"/>
      <c r="Z217" s="8"/>
      <c r="AA217" s="8"/>
      <c r="AB217" s="8"/>
    </row>
    <row r="218" spans="21:28" hidden="1" x14ac:dyDescent="0.2">
      <c r="U218" s="8"/>
      <c r="V218" s="8"/>
      <c r="W218" s="8"/>
      <c r="X218" s="8"/>
      <c r="Y218" s="8"/>
      <c r="Z218" s="8"/>
      <c r="AA218" s="8"/>
      <c r="AB218" s="8"/>
    </row>
    <row r="219" spans="21:28" hidden="1" x14ac:dyDescent="0.2">
      <c r="U219" s="8"/>
      <c r="V219" s="8"/>
      <c r="W219" s="8"/>
      <c r="X219" s="8"/>
      <c r="Y219" s="8"/>
      <c r="Z219" s="8"/>
      <c r="AA219" s="8"/>
      <c r="AB219" s="8"/>
    </row>
    <row r="220" spans="21:28" hidden="1" x14ac:dyDescent="0.2">
      <c r="U220" s="8"/>
      <c r="V220" s="8"/>
      <c r="W220" s="8"/>
      <c r="X220" s="8"/>
      <c r="Y220" s="8"/>
      <c r="Z220" s="8"/>
      <c r="AA220" s="8"/>
      <c r="AB220" s="8"/>
    </row>
    <row r="221" spans="21:28" hidden="1" x14ac:dyDescent="0.2">
      <c r="U221" s="8"/>
      <c r="V221" s="8"/>
      <c r="W221" s="8"/>
      <c r="X221" s="8"/>
      <c r="Y221" s="8"/>
      <c r="Z221" s="8"/>
      <c r="AA221" s="8"/>
      <c r="AB221" s="8"/>
    </row>
    <row r="222" spans="21:28" hidden="1" x14ac:dyDescent="0.2">
      <c r="U222" s="8"/>
      <c r="V222" s="8"/>
      <c r="W222" s="8"/>
      <c r="X222" s="8"/>
      <c r="Y222" s="8"/>
      <c r="Z222" s="8"/>
      <c r="AA222" s="8"/>
      <c r="AB222" s="8"/>
    </row>
    <row r="223" spans="21:28" hidden="1" x14ac:dyDescent="0.2">
      <c r="U223" s="8"/>
      <c r="V223" s="8"/>
      <c r="W223" s="8"/>
      <c r="X223" s="8"/>
      <c r="Y223" s="8"/>
      <c r="Z223" s="8"/>
      <c r="AA223" s="8"/>
      <c r="AB223" s="8"/>
    </row>
    <row r="224" spans="21:28" hidden="1" x14ac:dyDescent="0.2">
      <c r="U224" s="8"/>
      <c r="V224" s="8"/>
      <c r="W224" s="8"/>
      <c r="X224" s="8"/>
      <c r="Y224" s="8"/>
      <c r="Z224" s="8"/>
      <c r="AA224" s="8"/>
      <c r="AB224" s="8"/>
    </row>
    <row r="225" spans="21:28" hidden="1" x14ac:dyDescent="0.2">
      <c r="U225" s="8"/>
      <c r="V225" s="8"/>
      <c r="W225" s="8"/>
      <c r="X225" s="8"/>
      <c r="Y225" s="8"/>
      <c r="Z225" s="8"/>
      <c r="AA225" s="8"/>
      <c r="AB225" s="8"/>
    </row>
    <row r="226" spans="21:28" hidden="1" x14ac:dyDescent="0.2">
      <c r="U226" s="8"/>
      <c r="V226" s="8"/>
      <c r="W226" s="8"/>
      <c r="X226" s="8"/>
      <c r="Y226" s="8"/>
      <c r="Z226" s="8"/>
      <c r="AA226" s="8"/>
      <c r="AB226" s="8"/>
    </row>
    <row r="227" spans="21:28" hidden="1" x14ac:dyDescent="0.2">
      <c r="U227" s="8"/>
      <c r="V227" s="8"/>
      <c r="W227" s="8"/>
      <c r="X227" s="8"/>
      <c r="Y227" s="8"/>
      <c r="Z227" s="8"/>
      <c r="AA227" s="8"/>
      <c r="AB227" s="8"/>
    </row>
    <row r="228" spans="21:28" hidden="1" x14ac:dyDescent="0.2">
      <c r="U228" s="8"/>
      <c r="V228" s="8"/>
      <c r="W228" s="8"/>
      <c r="X228" s="8"/>
      <c r="Y228" s="8"/>
      <c r="Z228" s="8"/>
      <c r="AA228" s="8"/>
      <c r="AB228" s="8"/>
    </row>
    <row r="229" spans="21:28" hidden="1" x14ac:dyDescent="0.2">
      <c r="U229" s="8"/>
      <c r="V229" s="8"/>
      <c r="W229" s="8"/>
      <c r="X229" s="8"/>
      <c r="Y229" s="8"/>
      <c r="Z229" s="8"/>
      <c r="AA229" s="8"/>
      <c r="AB229" s="8"/>
    </row>
    <row r="230" spans="21:28" hidden="1" x14ac:dyDescent="0.2">
      <c r="U230" s="8"/>
      <c r="V230" s="8"/>
      <c r="W230" s="8"/>
      <c r="X230" s="8"/>
      <c r="Y230" s="8"/>
      <c r="Z230" s="8"/>
      <c r="AA230" s="8"/>
      <c r="AB230" s="8"/>
    </row>
    <row r="231" spans="21:28" hidden="1" x14ac:dyDescent="0.2">
      <c r="U231" s="8"/>
      <c r="V231" s="8"/>
      <c r="W231" s="8"/>
      <c r="X231" s="8"/>
      <c r="Y231" s="8"/>
      <c r="Z231" s="8"/>
      <c r="AA231" s="8"/>
      <c r="AB231" s="8"/>
    </row>
    <row r="232" spans="21:28" hidden="1" x14ac:dyDescent="0.2">
      <c r="U232" s="8"/>
      <c r="V232" s="8"/>
      <c r="W232" s="8"/>
      <c r="X232" s="8"/>
      <c r="Y232" s="8"/>
      <c r="Z232" s="8"/>
      <c r="AA232" s="8"/>
      <c r="AB232" s="8"/>
    </row>
    <row r="233" spans="21:28" hidden="1" x14ac:dyDescent="0.2">
      <c r="U233" s="8"/>
      <c r="V233" s="8"/>
      <c r="W233" s="8"/>
      <c r="X233" s="8"/>
      <c r="Y233" s="8"/>
      <c r="Z233" s="8"/>
      <c r="AA233" s="8"/>
      <c r="AB233" s="8"/>
    </row>
    <row r="234" spans="21:28" hidden="1" x14ac:dyDescent="0.2">
      <c r="U234" s="8"/>
      <c r="V234" s="8"/>
      <c r="W234" s="8"/>
      <c r="X234" s="8"/>
      <c r="Y234" s="8"/>
      <c r="Z234" s="8"/>
      <c r="AA234" s="8"/>
      <c r="AB234" s="8"/>
    </row>
    <row r="235" spans="21:28" hidden="1" x14ac:dyDescent="0.2">
      <c r="U235" s="8"/>
      <c r="V235" s="8"/>
      <c r="W235" s="8"/>
      <c r="X235" s="8"/>
      <c r="Y235" s="8"/>
      <c r="Z235" s="8"/>
      <c r="AA235" s="8"/>
      <c r="AB235" s="8"/>
    </row>
    <row r="236" spans="21:28" hidden="1" x14ac:dyDescent="0.2">
      <c r="U236" s="8"/>
      <c r="V236" s="8"/>
      <c r="W236" s="8"/>
      <c r="X236" s="8"/>
      <c r="Y236" s="8"/>
      <c r="Z236" s="8"/>
      <c r="AA236" s="8"/>
      <c r="AB236" s="8"/>
    </row>
    <row r="237" spans="21:28" hidden="1" x14ac:dyDescent="0.2">
      <c r="U237" s="8"/>
      <c r="V237" s="8"/>
      <c r="W237" s="8"/>
      <c r="X237" s="8"/>
      <c r="Y237" s="8"/>
      <c r="Z237" s="8"/>
      <c r="AA237" s="8"/>
      <c r="AB237" s="8"/>
    </row>
    <row r="238" spans="21:28" hidden="1" x14ac:dyDescent="0.2">
      <c r="U238" s="8"/>
      <c r="V238" s="8"/>
      <c r="W238" s="8"/>
      <c r="X238" s="8"/>
      <c r="Y238" s="8"/>
      <c r="Z238" s="8"/>
      <c r="AA238" s="8"/>
      <c r="AB238" s="8"/>
    </row>
    <row r="239" spans="21:28" hidden="1" x14ac:dyDescent="0.2">
      <c r="U239" s="8"/>
      <c r="V239" s="8"/>
      <c r="W239" s="8"/>
      <c r="X239" s="8"/>
      <c r="Y239" s="8"/>
      <c r="Z239" s="8"/>
      <c r="AA239" s="8"/>
      <c r="AB239" s="8"/>
    </row>
    <row r="240" spans="21:28" hidden="1" x14ac:dyDescent="0.2">
      <c r="U240" s="8"/>
      <c r="V240" s="8"/>
      <c r="W240" s="8"/>
      <c r="X240" s="8"/>
      <c r="Y240" s="8"/>
      <c r="Z240" s="8"/>
      <c r="AA240" s="8"/>
      <c r="AB240" s="8"/>
    </row>
    <row r="241" spans="21:28" hidden="1" x14ac:dyDescent="0.2">
      <c r="U241" s="8"/>
      <c r="V241" s="8"/>
      <c r="W241" s="8"/>
      <c r="X241" s="8"/>
      <c r="Y241" s="8"/>
      <c r="Z241" s="8"/>
      <c r="AA241" s="8"/>
      <c r="AB241" s="8"/>
    </row>
    <row r="242" spans="21:28" hidden="1" x14ac:dyDescent="0.2">
      <c r="U242" s="8"/>
      <c r="V242" s="8"/>
      <c r="W242" s="8"/>
      <c r="X242" s="8"/>
      <c r="Y242" s="8"/>
      <c r="Z242" s="8"/>
      <c r="AA242" s="8"/>
      <c r="AB242" s="8"/>
    </row>
    <row r="243" spans="21:28" hidden="1" x14ac:dyDescent="0.2">
      <c r="U243" s="8"/>
      <c r="V243" s="8"/>
      <c r="W243" s="8"/>
      <c r="X243" s="8"/>
      <c r="Y243" s="8"/>
      <c r="Z243" s="8"/>
      <c r="AA243" s="8"/>
      <c r="AB243" s="8"/>
    </row>
    <row r="244" spans="21:28" hidden="1" x14ac:dyDescent="0.2">
      <c r="U244" s="8"/>
      <c r="V244" s="8"/>
      <c r="W244" s="8"/>
      <c r="X244" s="8"/>
      <c r="Y244" s="8"/>
      <c r="Z244" s="8"/>
      <c r="AA244" s="8"/>
      <c r="AB244" s="8"/>
    </row>
    <row r="245" spans="21:28" hidden="1" x14ac:dyDescent="0.2">
      <c r="U245" s="8"/>
      <c r="V245" s="8"/>
      <c r="W245" s="8"/>
      <c r="X245" s="8"/>
      <c r="Y245" s="8"/>
      <c r="Z245" s="8"/>
      <c r="AA245" s="8"/>
      <c r="AB245" s="8"/>
    </row>
    <row r="246" spans="21:28" hidden="1" x14ac:dyDescent="0.2">
      <c r="U246" s="8"/>
      <c r="V246" s="8"/>
      <c r="W246" s="8"/>
      <c r="X246" s="8"/>
      <c r="Y246" s="8"/>
      <c r="Z246" s="8"/>
      <c r="AA246" s="8"/>
      <c r="AB246" s="8"/>
    </row>
    <row r="247" spans="21:28" hidden="1" x14ac:dyDescent="0.2">
      <c r="U247" s="8"/>
      <c r="V247" s="8"/>
      <c r="W247" s="8"/>
      <c r="X247" s="8"/>
      <c r="Y247" s="8"/>
      <c r="Z247" s="8"/>
      <c r="AA247" s="8"/>
      <c r="AB247" s="8"/>
    </row>
    <row r="248" spans="21:28" hidden="1" x14ac:dyDescent="0.2">
      <c r="U248" s="8"/>
      <c r="V248" s="8"/>
      <c r="W248" s="8"/>
      <c r="X248" s="8"/>
      <c r="Y248" s="8"/>
      <c r="Z248" s="8"/>
      <c r="AA248" s="8"/>
      <c r="AB248" s="8"/>
    </row>
    <row r="249" spans="21:28" hidden="1" x14ac:dyDescent="0.2">
      <c r="U249" s="8"/>
      <c r="V249" s="8"/>
      <c r="W249" s="8"/>
      <c r="X249" s="8"/>
      <c r="Y249" s="8"/>
      <c r="Z249" s="8"/>
      <c r="AA249" s="8"/>
      <c r="AB249" s="8"/>
    </row>
    <row r="250" spans="21:28" hidden="1" x14ac:dyDescent="0.2">
      <c r="U250" s="8"/>
      <c r="V250" s="8"/>
      <c r="W250" s="8"/>
      <c r="X250" s="8"/>
      <c r="Y250" s="8"/>
      <c r="Z250" s="8"/>
      <c r="AA250" s="8"/>
      <c r="AB250" s="8"/>
    </row>
    <row r="251" spans="21:28" hidden="1" x14ac:dyDescent="0.2">
      <c r="U251" s="8"/>
      <c r="V251" s="8"/>
      <c r="W251" s="8"/>
      <c r="X251" s="8"/>
      <c r="Y251" s="8"/>
      <c r="Z251" s="8"/>
      <c r="AA251" s="8"/>
      <c r="AB251" s="8"/>
    </row>
    <row r="252" spans="21:28" hidden="1" x14ac:dyDescent="0.2">
      <c r="U252" s="8"/>
      <c r="V252" s="8"/>
      <c r="W252" s="8"/>
      <c r="X252" s="8"/>
      <c r="Y252" s="8"/>
      <c r="Z252" s="8"/>
      <c r="AA252" s="8"/>
      <c r="AB252" s="8"/>
    </row>
    <row r="253" spans="21:28" hidden="1" x14ac:dyDescent="0.2">
      <c r="U253" s="8"/>
      <c r="V253" s="8"/>
      <c r="W253" s="8"/>
      <c r="X253" s="8"/>
      <c r="Y253" s="8"/>
      <c r="Z253" s="8"/>
      <c r="AA253" s="8"/>
      <c r="AB253" s="8"/>
    </row>
    <row r="254" spans="21:28" hidden="1" x14ac:dyDescent="0.2">
      <c r="U254" s="8"/>
      <c r="V254" s="8"/>
      <c r="W254" s="8"/>
      <c r="X254" s="8"/>
      <c r="Y254" s="8"/>
      <c r="Z254" s="8"/>
      <c r="AA254" s="8"/>
      <c r="AB254" s="8"/>
    </row>
    <row r="255" spans="21:28" hidden="1" x14ac:dyDescent="0.2">
      <c r="U255" s="8"/>
      <c r="V255" s="8"/>
      <c r="W255" s="8"/>
      <c r="X255" s="8"/>
      <c r="Y255" s="8"/>
      <c r="Z255" s="8"/>
      <c r="AA255" s="8"/>
      <c r="AB255" s="8"/>
    </row>
    <row r="256" spans="21:28" hidden="1" x14ac:dyDescent="0.2">
      <c r="U256" s="8"/>
      <c r="V256" s="8"/>
      <c r="W256" s="8"/>
      <c r="X256" s="8"/>
      <c r="Y256" s="8"/>
      <c r="Z256" s="8"/>
      <c r="AA256" s="8"/>
      <c r="AB256" s="8"/>
    </row>
    <row r="257" spans="21:28" hidden="1" x14ac:dyDescent="0.2">
      <c r="U257" s="8"/>
      <c r="V257" s="8"/>
      <c r="W257" s="8"/>
      <c r="X257" s="8"/>
      <c r="Y257" s="8"/>
      <c r="Z257" s="8"/>
      <c r="AA257" s="8"/>
      <c r="AB257" s="8"/>
    </row>
    <row r="258" spans="21:28" hidden="1" x14ac:dyDescent="0.2">
      <c r="U258" s="8"/>
      <c r="V258" s="8"/>
      <c r="W258" s="8"/>
      <c r="X258" s="8"/>
      <c r="Y258" s="8"/>
      <c r="Z258" s="8"/>
      <c r="AA258" s="8"/>
      <c r="AB258" s="8"/>
    </row>
    <row r="259" spans="21:28" hidden="1" x14ac:dyDescent="0.2">
      <c r="U259" s="8"/>
      <c r="V259" s="8"/>
      <c r="W259" s="8"/>
      <c r="X259" s="8"/>
      <c r="Y259" s="8"/>
      <c r="Z259" s="8"/>
      <c r="AA259" s="8"/>
      <c r="AB259" s="8"/>
    </row>
    <row r="260" spans="21:28" hidden="1" x14ac:dyDescent="0.2">
      <c r="U260" s="8"/>
      <c r="V260" s="8"/>
      <c r="W260" s="8"/>
      <c r="X260" s="8"/>
      <c r="Y260" s="8"/>
      <c r="Z260" s="8"/>
      <c r="AA260" s="8"/>
      <c r="AB260" s="8"/>
    </row>
    <row r="261" spans="21:28" hidden="1" x14ac:dyDescent="0.2">
      <c r="U261" s="8"/>
      <c r="V261" s="8"/>
      <c r="W261" s="8"/>
      <c r="X261" s="8"/>
      <c r="Y261" s="8"/>
      <c r="Z261" s="8"/>
      <c r="AA261" s="8"/>
      <c r="AB261" s="8"/>
    </row>
    <row r="262" spans="21:28" hidden="1" x14ac:dyDescent="0.2">
      <c r="U262" s="8"/>
      <c r="V262" s="8"/>
      <c r="W262" s="8"/>
      <c r="X262" s="8"/>
      <c r="Y262" s="8"/>
      <c r="Z262" s="8"/>
      <c r="AA262" s="8"/>
      <c r="AB262" s="8"/>
    </row>
    <row r="263" spans="21:28" hidden="1" x14ac:dyDescent="0.2">
      <c r="U263" s="8"/>
      <c r="V263" s="8"/>
      <c r="W263" s="8"/>
      <c r="X263" s="8"/>
      <c r="Y263" s="8"/>
      <c r="Z263" s="8"/>
      <c r="AA263" s="8"/>
      <c r="AB263" s="8"/>
    </row>
    <row r="264" spans="21:28" hidden="1" x14ac:dyDescent="0.2">
      <c r="U264" s="8"/>
      <c r="V264" s="8"/>
      <c r="W264" s="8"/>
      <c r="X264" s="8"/>
      <c r="Y264" s="8"/>
      <c r="Z264" s="8"/>
      <c r="AA264" s="8"/>
      <c r="AB264" s="8"/>
    </row>
    <row r="265" spans="21:28" hidden="1" x14ac:dyDescent="0.2">
      <c r="U265" s="8"/>
      <c r="V265" s="8"/>
      <c r="W265" s="8"/>
      <c r="X265" s="8"/>
      <c r="Y265" s="8"/>
      <c r="Z265" s="8"/>
      <c r="AA265" s="8"/>
      <c r="AB265" s="8"/>
    </row>
    <row r="266" spans="21:28" hidden="1" x14ac:dyDescent="0.2">
      <c r="U266" s="8"/>
      <c r="V266" s="8"/>
      <c r="W266" s="8"/>
      <c r="X266" s="8"/>
      <c r="Y266" s="8"/>
      <c r="Z266" s="8"/>
      <c r="AA266" s="8"/>
      <c r="AB266" s="8"/>
    </row>
    <row r="267" spans="21:28" hidden="1" x14ac:dyDescent="0.2">
      <c r="U267" s="8"/>
      <c r="V267" s="8"/>
      <c r="W267" s="8"/>
      <c r="X267" s="8"/>
      <c r="Y267" s="8"/>
      <c r="Z267" s="8"/>
      <c r="AA267" s="8"/>
      <c r="AB267" s="8"/>
    </row>
    <row r="268" spans="21:28" hidden="1" x14ac:dyDescent="0.2">
      <c r="U268" s="8"/>
      <c r="V268" s="8"/>
      <c r="W268" s="8"/>
      <c r="X268" s="8"/>
      <c r="Y268" s="8"/>
      <c r="Z268" s="8"/>
      <c r="AA268" s="8"/>
      <c r="AB268" s="8"/>
    </row>
    <row r="269" spans="21:28" hidden="1" x14ac:dyDescent="0.2">
      <c r="U269" s="8"/>
      <c r="V269" s="8"/>
      <c r="W269" s="8"/>
      <c r="X269" s="8"/>
      <c r="Y269" s="8"/>
      <c r="Z269" s="8"/>
      <c r="AA269" s="8"/>
      <c r="AB269" s="8"/>
    </row>
    <row r="270" spans="21:28" hidden="1" x14ac:dyDescent="0.2">
      <c r="U270" s="8"/>
      <c r="V270" s="8"/>
      <c r="W270" s="8"/>
      <c r="X270" s="8"/>
      <c r="Y270" s="8"/>
      <c r="Z270" s="8"/>
      <c r="AA270" s="8"/>
      <c r="AB270" s="8"/>
    </row>
    <row r="271" spans="21:28" hidden="1" x14ac:dyDescent="0.2">
      <c r="U271" s="8"/>
      <c r="V271" s="8"/>
      <c r="W271" s="8"/>
      <c r="X271" s="8"/>
      <c r="Y271" s="8"/>
      <c r="Z271" s="8"/>
      <c r="AA271" s="8"/>
      <c r="AB271" s="8"/>
    </row>
    <row r="272" spans="21:28" hidden="1" x14ac:dyDescent="0.2">
      <c r="U272" s="8"/>
      <c r="V272" s="8"/>
      <c r="W272" s="8"/>
      <c r="X272" s="8"/>
      <c r="Y272" s="8"/>
      <c r="Z272" s="8"/>
      <c r="AA272" s="8"/>
      <c r="AB272" s="8"/>
    </row>
    <row r="273" spans="21:28" hidden="1" x14ac:dyDescent="0.2">
      <c r="U273" s="8"/>
      <c r="V273" s="8"/>
      <c r="W273" s="8"/>
      <c r="X273" s="8"/>
      <c r="Y273" s="8"/>
      <c r="Z273" s="8"/>
      <c r="AA273" s="8"/>
      <c r="AB273" s="8"/>
    </row>
    <row r="274" spans="21:28" hidden="1" x14ac:dyDescent="0.2">
      <c r="U274" s="8"/>
      <c r="V274" s="8"/>
      <c r="W274" s="8"/>
      <c r="X274" s="8"/>
      <c r="Y274" s="8"/>
      <c r="Z274" s="8"/>
      <c r="AA274" s="8"/>
      <c r="AB274" s="8"/>
    </row>
    <row r="275" spans="21:28" hidden="1" x14ac:dyDescent="0.2">
      <c r="U275" s="8"/>
      <c r="V275" s="8"/>
      <c r="W275" s="8"/>
      <c r="X275" s="8"/>
      <c r="Y275" s="8"/>
      <c r="Z275" s="8"/>
      <c r="AA275" s="8"/>
      <c r="AB275" s="8"/>
    </row>
    <row r="276" spans="21:28" hidden="1" x14ac:dyDescent="0.2">
      <c r="U276" s="8"/>
      <c r="V276" s="8"/>
      <c r="W276" s="8"/>
      <c r="X276" s="8"/>
      <c r="Y276" s="8"/>
      <c r="Z276" s="8"/>
      <c r="AA276" s="8"/>
      <c r="AB276" s="8"/>
    </row>
    <row r="277" spans="21:28" hidden="1" x14ac:dyDescent="0.2">
      <c r="U277" s="8"/>
      <c r="V277" s="8"/>
      <c r="W277" s="8"/>
      <c r="X277" s="8"/>
      <c r="Y277" s="8"/>
      <c r="Z277" s="8"/>
      <c r="AA277" s="8"/>
      <c r="AB277" s="8"/>
    </row>
    <row r="278" spans="21:28" hidden="1" x14ac:dyDescent="0.2">
      <c r="U278" s="8"/>
      <c r="V278" s="8"/>
      <c r="W278" s="8"/>
      <c r="X278" s="8"/>
      <c r="Y278" s="8"/>
      <c r="Z278" s="8"/>
      <c r="AA278" s="8"/>
      <c r="AB278" s="8"/>
    </row>
    <row r="279" spans="21:28" hidden="1" x14ac:dyDescent="0.2">
      <c r="U279" s="8"/>
      <c r="V279" s="8"/>
      <c r="W279" s="8"/>
      <c r="X279" s="8"/>
      <c r="Y279" s="8"/>
      <c r="Z279" s="8"/>
      <c r="AA279" s="8"/>
      <c r="AB279" s="8"/>
    </row>
    <row r="280" spans="21:28" hidden="1" x14ac:dyDescent="0.2">
      <c r="U280" s="8"/>
      <c r="V280" s="8"/>
      <c r="W280" s="8"/>
      <c r="X280" s="8"/>
      <c r="Y280" s="8"/>
      <c r="Z280" s="8"/>
      <c r="AA280" s="8"/>
      <c r="AB280" s="8"/>
    </row>
    <row r="281" spans="21:28" hidden="1" x14ac:dyDescent="0.2">
      <c r="U281" s="8"/>
      <c r="V281" s="8"/>
      <c r="W281" s="8"/>
      <c r="X281" s="8"/>
      <c r="Y281" s="8"/>
      <c r="Z281" s="8"/>
      <c r="AA281" s="8"/>
      <c r="AB281" s="8"/>
    </row>
    <row r="282" spans="21:28" hidden="1" x14ac:dyDescent="0.2">
      <c r="U282" s="8"/>
      <c r="V282" s="8"/>
      <c r="W282" s="8"/>
      <c r="X282" s="8"/>
      <c r="Y282" s="8"/>
      <c r="Z282" s="8"/>
      <c r="AA282" s="8"/>
      <c r="AB282" s="8"/>
    </row>
    <row r="283" spans="21:28" hidden="1" x14ac:dyDescent="0.2">
      <c r="U283" s="8"/>
      <c r="V283" s="8"/>
      <c r="W283" s="8"/>
      <c r="X283" s="8"/>
      <c r="Y283" s="8"/>
      <c r="Z283" s="8"/>
      <c r="AA283" s="8"/>
      <c r="AB283" s="8"/>
    </row>
    <row r="284" spans="21:28" hidden="1" x14ac:dyDescent="0.2">
      <c r="U284" s="8"/>
      <c r="V284" s="8"/>
      <c r="W284" s="8"/>
      <c r="X284" s="8"/>
      <c r="Y284" s="8"/>
      <c r="Z284" s="8"/>
      <c r="AA284" s="8"/>
      <c r="AB284" s="8"/>
    </row>
    <row r="285" spans="21:28" hidden="1" x14ac:dyDescent="0.2">
      <c r="U285" s="8"/>
      <c r="V285" s="8"/>
      <c r="W285" s="8"/>
      <c r="X285" s="8"/>
      <c r="Y285" s="8"/>
      <c r="Z285" s="8"/>
      <c r="AA285" s="8"/>
      <c r="AB285" s="8"/>
    </row>
    <row r="286" spans="21:28" hidden="1" x14ac:dyDescent="0.2">
      <c r="U286" s="8"/>
      <c r="V286" s="8"/>
      <c r="W286" s="8"/>
      <c r="X286" s="8"/>
      <c r="Y286" s="8"/>
      <c r="Z286" s="8"/>
      <c r="AA286" s="8"/>
      <c r="AB286" s="8"/>
    </row>
    <row r="287" spans="21:28" hidden="1" x14ac:dyDescent="0.2">
      <c r="U287" s="8"/>
      <c r="V287" s="8"/>
      <c r="W287" s="8"/>
      <c r="X287" s="8"/>
      <c r="Y287" s="8"/>
      <c r="Z287" s="8"/>
      <c r="AA287" s="8"/>
      <c r="AB287" s="8"/>
    </row>
    <row r="288" spans="21:28" hidden="1" x14ac:dyDescent="0.2">
      <c r="U288" s="8"/>
      <c r="V288" s="8"/>
      <c r="W288" s="8"/>
      <c r="X288" s="8"/>
      <c r="Y288" s="8"/>
      <c r="Z288" s="8"/>
      <c r="AA288" s="8"/>
      <c r="AB288" s="8"/>
    </row>
    <row r="289" spans="21:28" hidden="1" x14ac:dyDescent="0.2">
      <c r="U289" s="8"/>
      <c r="V289" s="8"/>
      <c r="W289" s="8"/>
      <c r="X289" s="8"/>
      <c r="Y289" s="8"/>
      <c r="Z289" s="8"/>
      <c r="AA289" s="8"/>
      <c r="AB289" s="8"/>
    </row>
    <row r="290" spans="21:28" hidden="1" x14ac:dyDescent="0.2">
      <c r="U290" s="8"/>
      <c r="V290" s="8"/>
      <c r="W290" s="8"/>
      <c r="X290" s="8"/>
      <c r="Y290" s="8"/>
      <c r="Z290" s="8"/>
      <c r="AA290" s="8"/>
      <c r="AB290" s="8"/>
    </row>
    <row r="291" spans="21:28" hidden="1" x14ac:dyDescent="0.2">
      <c r="U291" s="8"/>
      <c r="V291" s="8"/>
      <c r="W291" s="8"/>
      <c r="X291" s="8"/>
      <c r="Y291" s="8"/>
      <c r="Z291" s="8"/>
      <c r="AA291" s="8"/>
      <c r="AB291" s="8"/>
    </row>
    <row r="292" spans="21:28" hidden="1" x14ac:dyDescent="0.2">
      <c r="U292" s="8"/>
      <c r="V292" s="8"/>
      <c r="W292" s="8"/>
      <c r="X292" s="8"/>
      <c r="Y292" s="8"/>
      <c r="Z292" s="8"/>
      <c r="AA292" s="8"/>
      <c r="AB292" s="8"/>
    </row>
    <row r="293" spans="21:28" hidden="1" x14ac:dyDescent="0.2">
      <c r="U293" s="8"/>
      <c r="V293" s="8"/>
      <c r="W293" s="8"/>
      <c r="X293" s="8"/>
      <c r="Y293" s="8"/>
      <c r="Z293" s="8"/>
      <c r="AA293" s="8"/>
      <c r="AB293" s="8"/>
    </row>
    <row r="294" spans="21:28" hidden="1" x14ac:dyDescent="0.2">
      <c r="U294" s="8"/>
      <c r="V294" s="8"/>
      <c r="W294" s="8"/>
      <c r="X294" s="8"/>
      <c r="Y294" s="8"/>
      <c r="Z294" s="8"/>
      <c r="AA294" s="8"/>
      <c r="AB294" s="8"/>
    </row>
    <row r="295" spans="21:28" hidden="1" x14ac:dyDescent="0.2">
      <c r="U295" s="8"/>
      <c r="V295" s="8"/>
      <c r="W295" s="8"/>
      <c r="X295" s="8"/>
      <c r="Y295" s="8"/>
      <c r="Z295" s="8"/>
      <c r="AA295" s="8"/>
      <c r="AB295" s="8"/>
    </row>
    <row r="296" spans="21:28" hidden="1" x14ac:dyDescent="0.2">
      <c r="U296" s="8"/>
      <c r="V296" s="8"/>
      <c r="W296" s="8"/>
      <c r="X296" s="8"/>
      <c r="Y296" s="8"/>
      <c r="Z296" s="8"/>
      <c r="AA296" s="8"/>
      <c r="AB296" s="8"/>
    </row>
    <row r="297" spans="21:28" hidden="1" x14ac:dyDescent="0.2">
      <c r="U297" s="8"/>
      <c r="V297" s="8"/>
      <c r="W297" s="8"/>
      <c r="X297" s="8"/>
      <c r="Y297" s="8"/>
      <c r="Z297" s="8"/>
      <c r="AA297" s="8"/>
      <c r="AB297" s="8"/>
    </row>
  </sheetData>
  <sheetProtection password="CC01" sheet="1" objects="1" scenarios="1"/>
  <mergeCells count="57">
    <mergeCell ref="F30:G30"/>
    <mergeCell ref="Q1:X1"/>
    <mergeCell ref="Q2:X2"/>
    <mergeCell ref="F19:F20"/>
    <mergeCell ref="H21:I21"/>
    <mergeCell ref="H19:I19"/>
    <mergeCell ref="H20:I20"/>
    <mergeCell ref="H16:I16"/>
    <mergeCell ref="H17:I17"/>
    <mergeCell ref="G15:I15"/>
    <mergeCell ref="H18:I18"/>
    <mergeCell ref="F16:F17"/>
    <mergeCell ref="C42:D42"/>
    <mergeCell ref="C37:D37"/>
    <mergeCell ref="B28:C28"/>
    <mergeCell ref="C38:D38"/>
    <mergeCell ref="C39:D39"/>
    <mergeCell ref="C21:D21"/>
    <mergeCell ref="A23:I23"/>
    <mergeCell ref="B29:C29"/>
    <mergeCell ref="C40:D40"/>
    <mergeCell ref="C41:D41"/>
    <mergeCell ref="F28:G28"/>
    <mergeCell ref="B26:C26"/>
    <mergeCell ref="D24:E24"/>
    <mergeCell ref="D25:E28"/>
    <mergeCell ref="D29:E29"/>
    <mergeCell ref="F27:G27"/>
    <mergeCell ref="F24:G24"/>
    <mergeCell ref="F25:G25"/>
    <mergeCell ref="F26:G26"/>
    <mergeCell ref="B27:C27"/>
    <mergeCell ref="F29:G29"/>
    <mergeCell ref="B25:C25"/>
    <mergeCell ref="B24:C24"/>
    <mergeCell ref="A1:I2"/>
    <mergeCell ref="A15:B16"/>
    <mergeCell ref="C15:D16"/>
    <mergeCell ref="A17:B20"/>
    <mergeCell ref="C17:D20"/>
    <mergeCell ref="C8:D8"/>
    <mergeCell ref="A10:D10"/>
    <mergeCell ref="C6:D7"/>
    <mergeCell ref="F4:G4"/>
    <mergeCell ref="H4:I4"/>
    <mergeCell ref="F5:G10"/>
    <mergeCell ref="H5:I10"/>
    <mergeCell ref="A6:B7"/>
    <mergeCell ref="A21:B21"/>
    <mergeCell ref="A8:B8"/>
    <mergeCell ref="A3:D3"/>
    <mergeCell ref="H11:I11"/>
    <mergeCell ref="A11:D14"/>
    <mergeCell ref="F11:G11"/>
    <mergeCell ref="F3:I3"/>
    <mergeCell ref="A4:D5"/>
    <mergeCell ref="F13:I14"/>
  </mergeCells>
  <phoneticPr fontId="2" type="noConversion"/>
  <conditionalFormatting sqref="I25:I29">
    <cfRule type="cellIs" dxfId="7" priority="16" operator="greaterThanOrEqual">
      <formula>0</formula>
    </cfRule>
    <cfRule type="cellIs" dxfId="6" priority="17" operator="lessThan">
      <formula>0</formula>
    </cfRule>
  </conditionalFormatting>
  <conditionalFormatting sqref="I26">
    <cfRule type="cellIs" dxfId="5" priority="14" operator="greaterThan">
      <formula>0</formula>
    </cfRule>
    <cfRule type="cellIs" dxfId="4" priority="15" operator="lessThan">
      <formula>0</formula>
    </cfRule>
  </conditionalFormatting>
  <conditionalFormatting sqref="H25">
    <cfRule type="cellIs" dxfId="3" priority="5" operator="lessThan">
      <formula>$F$25</formula>
    </cfRule>
  </conditionalFormatting>
  <conditionalFormatting sqref="H26">
    <cfRule type="cellIs" dxfId="2" priority="4" operator="lessThan">
      <formula>$F$26</formula>
    </cfRule>
  </conditionalFormatting>
  <conditionalFormatting sqref="H28">
    <cfRule type="cellIs" dxfId="1" priority="2" operator="lessThan">
      <formula>$F$28</formula>
    </cfRule>
  </conditionalFormatting>
  <conditionalFormatting sqref="H27">
    <cfRule type="cellIs" dxfId="0" priority="1" operator="lessThan">
      <formula>$F$27</formula>
    </cfRule>
  </conditionalFormatting>
  <dataValidations count="2">
    <dataValidation type="list" allowBlank="1" showInputMessage="1" showErrorMessage="1" sqref="D25:E28">
      <formula1>$V$24:$V$26</formula1>
    </dataValidation>
    <dataValidation type="list" allowBlank="1" showInputMessage="1" showErrorMessage="1" sqref="H16:I17">
      <formula1>$K$16:$K$19</formula1>
    </dataValidation>
  </dataValidations>
  <pageMargins left="0.7" right="0.7" top="0.75" bottom="0.75" header="0.3" footer="0.3"/>
  <pageSetup scale="90" orientation="landscape" r:id="rId1"/>
  <headerFooter>
    <oddFooter>&amp;CVersion 2.1, September 2015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Sheet2</vt:lpstr>
      <vt:lpstr>Start</vt:lpstr>
      <vt:lpstr>Instructions</vt:lpstr>
      <vt:lpstr>Stream Parts I-II</vt:lpstr>
      <vt:lpstr>Stream Parts III-VI</vt:lpstr>
      <vt:lpstr>Multiple Site Unit Comparison</vt:lpstr>
      <vt:lpstr>Wetlands Parts I-III</vt:lpstr>
      <vt:lpstr>Wetlands Parts IV-V</vt:lpstr>
      <vt:lpstr>Instructions!_ftnref1</vt:lpstr>
      <vt:lpstr>Instructions!OLE_LINK7</vt:lpstr>
      <vt:lpstr>Instructions!Print_Area</vt:lpstr>
      <vt:lpstr>'Multiple Site Unit Comparison'!Print_Area</vt:lpstr>
      <vt:lpstr>'Stream Parts I-II'!Print_Area</vt:lpstr>
      <vt:lpstr>'Stream Parts III-VI'!Print_Area</vt:lpstr>
      <vt:lpstr>'Wetlands Parts I-III'!Print_Area</vt:lpstr>
      <vt:lpstr>'Wetlands Parts IV-V'!Print_Area</vt:lpstr>
    </vt:vector>
  </TitlesOfParts>
  <Company>US Army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h1orxmeh</dc:creator>
  <cp:lastModifiedBy>H4OPFMCG</cp:lastModifiedBy>
  <cp:lastPrinted>2015-08-10T15:50:08Z</cp:lastPrinted>
  <dcterms:created xsi:type="dcterms:W3CDTF">2009-03-03T14:17:58Z</dcterms:created>
  <dcterms:modified xsi:type="dcterms:W3CDTF">2016-04-12T13:44:28Z</dcterms:modified>
</cp:coreProperties>
</file>